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autoCompressPictures="0"/>
  <mc:AlternateContent xmlns:mc="http://schemas.openxmlformats.org/markup-compatibility/2006">
    <mc:Choice Requires="x15">
      <x15ac:absPath xmlns:x15ac="http://schemas.microsoft.com/office/spreadsheetml/2010/11/ac" url="https://d.docs.live.net/fb72dd57bf406326/BUSSY RUNNING/2022-2023/"/>
    </mc:Choice>
  </mc:AlternateContent>
  <xr:revisionPtr revIDLastSave="1" documentId="13_ncr:1_{9F23C630-BA65-FF46-8606-FEA03EDADB62}" xr6:coauthVersionLast="47" xr6:coauthVersionMax="47" xr10:uidLastSave="{D2D7EC11-9334-4C20-9077-7B82A971ABD8}"/>
  <bookViews>
    <workbookView xWindow="0" yWindow="0" windowWidth="24000" windowHeight="12900" xr2:uid="{00000000-000D-0000-FFFF-FFFF00000000}"/>
  </bookViews>
  <sheets>
    <sheet name="RENTREE 2022" sheetId="2" r:id="rId1"/>
    <sheet name="MES ALLURES" sheetId="3" r:id="rId2"/>
  </sheets>
  <definedNames>
    <definedName name="_xlnm._FilterDatabase" localSheetId="0" hidden="1">'RENTREE 2022'!$B$43:$J$70</definedName>
    <definedName name="_xlnm.Print_Titles" localSheetId="0">'RENTREE 2022'!$10:$11</definedName>
    <definedName name="_xlnm.Print_Area" localSheetId="0">'RENTREE 2022'!$A$1:$I$70</definedName>
  </definedNames>
  <calcPr calcId="191029"/>
  <customWorkbookViews>
    <customWorkbookView name="H.POUTEAU - Affichage personnalisé" guid="{3E769640-7821-11D4-97FB-00609747E0DB}" mergeInterval="0" personalView="1" maximized="1" windowWidth="796" windowHeight="438" activeSheetId="1" showComments="commIndAndComment"/>
    <customWorkbookView name="POUTEAU - Affichage personnalisé" guid="{D8E4A9E8-7CE6-433B-B78A-B45FA417B60A}" mergeInterval="0" personalView="1" maximized="1" windowWidth="1020" windowHeight="60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0" i="2" l="1"/>
  <c r="F58" i="2"/>
  <c r="F74" i="2"/>
  <c r="F78" i="2" l="1"/>
  <c r="F72" i="2"/>
  <c r="F51" i="2"/>
  <c r="F37" i="2"/>
  <c r="F30" i="2"/>
  <c r="F25" i="2"/>
  <c r="F56" i="2"/>
  <c r="F42" i="2"/>
  <c r="F44" i="2"/>
  <c r="F39" i="2" l="1"/>
  <c r="F35" i="2"/>
  <c r="N42" i="2"/>
  <c r="J42" i="2"/>
  <c r="O42" i="2" l="1"/>
  <c r="P42" i="2" s="1"/>
  <c r="N20" i="2" l="1"/>
  <c r="F20" i="2"/>
  <c r="C14" i="2"/>
  <c r="O20" i="2" l="1"/>
  <c r="P20" i="2" s="1"/>
  <c r="F15" i="2"/>
  <c r="C3" i="3" l="1"/>
  <c r="B9" i="3"/>
  <c r="B10" i="3" s="1"/>
  <c r="C6" i="3" l="1"/>
  <c r="D6" i="3" s="1"/>
  <c r="C7" i="3"/>
  <c r="D7" i="3" s="1"/>
  <c r="C8" i="3"/>
  <c r="D8" i="3" s="1"/>
  <c r="C9" i="3"/>
  <c r="D9" i="3" s="1"/>
  <c r="C10" i="3"/>
  <c r="D10" i="3" s="1"/>
  <c r="B11" i="3"/>
  <c r="C11" i="3" s="1"/>
  <c r="D11" i="3" s="1"/>
  <c r="B12" i="3" l="1"/>
  <c r="C12" i="3" s="1"/>
  <c r="D12" i="3" s="1"/>
  <c r="B13" i="3" l="1"/>
  <c r="C13" i="3" s="1"/>
  <c r="D13" i="3" s="1"/>
  <c r="B14" i="3" l="1"/>
  <c r="C14" i="3" s="1"/>
  <c r="D14" i="3" s="1"/>
  <c r="B15" i="3" l="1"/>
  <c r="C15" i="3" s="1"/>
  <c r="D15" i="3" s="1"/>
  <c r="B16" i="3" l="1"/>
  <c r="C16" i="3" s="1"/>
  <c r="D16" i="3" s="1"/>
  <c r="B17" i="3" l="1"/>
  <c r="C17" i="3" s="1"/>
  <c r="D17" i="3" s="1"/>
  <c r="F65" i="2" l="1"/>
  <c r="F67" i="2"/>
  <c r="F53" i="2"/>
  <c r="F49" i="2"/>
  <c r="F46" i="2"/>
  <c r="F32" i="2"/>
  <c r="F17" i="2"/>
  <c r="D14" i="2"/>
  <c r="D15" i="2" s="1"/>
  <c r="D16" i="2" s="1"/>
  <c r="D17" i="2" s="1"/>
  <c r="B8" i="2"/>
  <c r="D18" i="2" l="1"/>
  <c r="D20" i="2"/>
  <c r="L56" i="2"/>
  <c r="L55" i="2"/>
  <c r="D19" i="2" l="1"/>
  <c r="D22" i="2" s="1"/>
  <c r="D23" i="2" s="1"/>
  <c r="D25" i="2" s="1"/>
  <c r="D26" i="2" s="1"/>
  <c r="D27" i="2" s="1"/>
  <c r="D28" i="2" s="1"/>
  <c r="D29" i="2" s="1"/>
  <c r="D30" i="2" s="1"/>
  <c r="D31" i="2" s="1"/>
  <c r="D32" i="2" s="1"/>
  <c r="D33" i="2" s="1"/>
  <c r="D21" i="2"/>
  <c r="J56" i="2"/>
  <c r="J49" i="2" s="1"/>
  <c r="C15" i="2"/>
  <c r="C16" i="2" s="1"/>
  <c r="C17" i="2" s="1"/>
  <c r="C18" i="2" s="1"/>
  <c r="C19" i="2" s="1"/>
  <c r="D24" i="2" l="1"/>
  <c r="C20" i="2"/>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D35" i="2"/>
  <c r="D34" i="2"/>
  <c r="D36" i="2" s="1"/>
  <c r="D37" i="2" s="1"/>
  <c r="D38" i="2" s="1"/>
  <c r="D39" i="2" s="1"/>
  <c r="D40" i="2" s="1"/>
  <c r="D41" i="2" s="1"/>
  <c r="K5" i="2"/>
  <c r="L5" i="2" s="1"/>
  <c r="N5" i="2"/>
  <c r="N65" i="2"/>
  <c r="O65" i="2" s="1"/>
  <c r="P65" i="2" s="1"/>
  <c r="N69" i="2"/>
  <c r="O69" i="2" s="1"/>
  <c r="P69" i="2" s="1"/>
  <c r="N52" i="2"/>
  <c r="N39" i="2"/>
  <c r="O39" i="2" s="1"/>
  <c r="N44" i="2"/>
  <c r="O44" i="2" s="1"/>
  <c r="P44" i="2" s="1"/>
  <c r="N55" i="2"/>
  <c r="N67" i="2"/>
  <c r="O67" i="2" s="1"/>
  <c r="P67" i="2" s="1"/>
  <c r="N41" i="2"/>
  <c r="N37" i="2"/>
  <c r="N16" i="2"/>
  <c r="O16" i="2" s="1"/>
  <c r="N49" i="2"/>
  <c r="O49" i="2" s="1"/>
  <c r="N66" i="2"/>
  <c r="O66" i="2" s="1"/>
  <c r="N18" i="2"/>
  <c r="N30" i="2"/>
  <c r="O30" i="2" s="1"/>
  <c r="N70" i="2"/>
  <c r="O70" i="2" s="1"/>
  <c r="P70" i="2" s="1"/>
  <c r="N46" i="2"/>
  <c r="O46" i="2" s="1"/>
  <c r="N27" i="2"/>
  <c r="O27" i="2" s="1"/>
  <c r="N28" i="2"/>
  <c r="N32" i="2"/>
  <c r="O32" i="2" s="1"/>
  <c r="N34" i="2"/>
  <c r="O34" i="2" s="1"/>
  <c r="N56" i="2"/>
  <c r="O56" i="2" s="1"/>
  <c r="N23" i="2"/>
  <c r="N58" i="2"/>
  <c r="N51" i="2"/>
  <c r="O51" i="2" s="1"/>
  <c r="N62" i="2"/>
  <c r="O62" i="2" s="1"/>
  <c r="N53" i="2"/>
  <c r="O53" i="2" s="1"/>
  <c r="M5" i="2"/>
  <c r="N63" i="2" s="1"/>
  <c r="B4" i="2"/>
  <c r="D42" i="2" l="1"/>
  <c r="N31" i="2"/>
  <c r="O31" i="2" s="1"/>
  <c r="P31" i="2" s="1"/>
  <c r="P34" i="2"/>
  <c r="P32" i="2"/>
  <c r="P62" i="2"/>
  <c r="N24" i="2"/>
  <c r="N33" i="2"/>
  <c r="N54" i="2"/>
  <c r="P16" i="2"/>
  <c r="N38" i="2"/>
  <c r="P66" i="2"/>
  <c r="P39" i="2"/>
  <c r="P56" i="2"/>
  <c r="P27" i="2"/>
  <c r="O41" i="2"/>
  <c r="P41" i="2" s="1"/>
  <c r="O55" i="2"/>
  <c r="P55" i="2" s="1"/>
  <c r="P30" i="2"/>
  <c r="O63" i="2"/>
  <c r="P63" i="2" s="1"/>
  <c r="P53" i="2"/>
  <c r="P46" i="2"/>
  <c r="P49" i="2"/>
  <c r="P51" i="2"/>
  <c r="O58" i="2"/>
  <c r="N61" i="2"/>
  <c r="N59" i="2"/>
  <c r="O52" i="2"/>
  <c r="P52" i="2" s="1"/>
  <c r="N40" i="2"/>
  <c r="O18" i="2"/>
  <c r="P18" i="2" s="1"/>
  <c r="N60" i="2"/>
  <c r="N48" i="2"/>
  <c r="O23" i="2"/>
  <c r="O28" i="2"/>
  <c r="O37" i="2"/>
  <c r="P37" i="2" s="1"/>
  <c r="D43" i="2" l="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O24" i="2"/>
  <c r="P24" i="2" s="1"/>
  <c r="O33" i="2"/>
  <c r="P33" i="2" s="1"/>
  <c r="O54" i="2"/>
  <c r="P54" i="2" s="1"/>
  <c r="O38" i="2"/>
  <c r="P38" i="2" s="1"/>
  <c r="O60" i="2"/>
  <c r="P60" i="2" s="1"/>
  <c r="P58" i="2"/>
  <c r="O61" i="2"/>
  <c r="P61" i="2" s="1"/>
  <c r="O59" i="2"/>
  <c r="P59" i="2" s="1"/>
  <c r="O48" i="2"/>
  <c r="P23" i="2"/>
  <c r="O40" i="2"/>
  <c r="P28" i="2"/>
  <c r="P48" i="2" l="1"/>
  <c r="P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Denis Lapalus (Mon Epargne Online)</author>
  </authors>
  <commentList>
    <comment ref="A1" authorId="0" shapeId="0" xr:uid="{00000000-0006-0000-0000-000001000000}">
      <text>
        <r>
          <rPr>
            <b/>
            <sz val="9"/>
            <color indexed="81"/>
            <rFont val="Calibri"/>
            <family val="2"/>
            <scheme val="minor"/>
          </rPr>
          <t>Ma vitesse de référence</t>
        </r>
        <r>
          <rPr>
            <sz val="9"/>
            <color indexed="81"/>
            <rFont val="Calibri"/>
            <family val="2"/>
            <scheme val="minor"/>
          </rPr>
          <t xml:space="preserve"> correspond à ma vitesse moyenne d'endurance, sur terrain plat, souhaitée pour l'entrainement ULTRA. Il s'agit de celle que j'ai indiquée dans le questionnaire ULTRA. Sur la base de cette vitesse indiquée, j'appartiens à un groupe d'athlètes de même niveau de vitesse d'endurance. (Cf  onglet GROUPES DE VITESSE).</t>
        </r>
        <r>
          <rPr>
            <sz val="9"/>
            <color indexed="81"/>
            <rFont val="Tahoma"/>
            <family val="2"/>
          </rPr>
          <t xml:space="preserve">
</t>
        </r>
      </text>
    </comment>
    <comment ref="B2" authorId="0" shapeId="0" xr:uid="{00000000-0006-0000-0000-000002000000}">
      <text>
        <r>
          <rPr>
            <sz val="9"/>
            <color indexed="81"/>
            <rFont val="Tahoma"/>
            <family val="2"/>
          </rPr>
          <t xml:space="preserve">La </t>
        </r>
        <r>
          <rPr>
            <b/>
            <sz val="9"/>
            <color indexed="81"/>
            <rFont val="Tahoma"/>
            <family val="2"/>
          </rPr>
          <t>VMA (Vitesse Maximale Aérobie)</t>
        </r>
        <r>
          <rPr>
            <sz val="9"/>
            <color indexed="81"/>
            <rFont val="Tahoma"/>
            <family val="2"/>
          </rPr>
          <t xml:space="preserve"> correspond à la vitesse à laquelle vous atteignez votre consommation maximale d'oxygène (VO2 max). </t>
        </r>
        <r>
          <rPr>
            <b/>
            <sz val="9"/>
            <color indexed="81"/>
            <rFont val="Tahoma"/>
            <family val="2"/>
          </rPr>
          <t>Il ne s'agit pas de votre vitesse maximale de course à pied</t>
        </r>
        <r>
          <rPr>
            <sz val="9"/>
            <color indexed="81"/>
            <rFont val="Tahoma"/>
            <family val="2"/>
          </rPr>
          <t xml:space="preserve">.
</t>
        </r>
      </text>
    </comment>
    <comment ref="B4" authorId="0" shapeId="0" xr:uid="{00000000-0006-0000-0000-000003000000}">
      <text>
        <r>
          <rPr>
            <sz val="9"/>
            <color indexed="81"/>
            <rFont val="Calibri"/>
            <family val="2"/>
            <scheme val="minor"/>
          </rPr>
          <t xml:space="preserve">La </t>
        </r>
        <r>
          <rPr>
            <b/>
            <sz val="9"/>
            <color indexed="81"/>
            <rFont val="Calibri"/>
            <family val="2"/>
            <scheme val="minor"/>
          </rPr>
          <t>VO2 max</t>
        </r>
        <r>
          <rPr>
            <sz val="9"/>
            <color indexed="81"/>
            <rFont val="Calibri"/>
            <family val="2"/>
            <scheme val="minor"/>
          </rPr>
          <t xml:space="preserve"> représente la consommation maximale d'oxygène d'un individu lors d'un effort physique. La VO2max est souvent indiquée par les montres permettant de mesurer l'activité cardiaque (mesure au poignet ou sur capteur). Il existe un coefficient théorique de conversion entre VO2 max et VMA.</t>
        </r>
        <r>
          <rPr>
            <sz val="9"/>
            <color indexed="81"/>
            <rFont val="Tahoma"/>
            <family val="2"/>
          </rPr>
          <t xml:space="preserve">
</t>
        </r>
      </text>
    </comment>
    <comment ref="B7" authorId="0" shapeId="0" xr:uid="{00000000-0006-0000-0000-000004000000}">
      <text>
        <r>
          <rPr>
            <sz val="9"/>
            <color indexed="81"/>
            <rFont val="Calibri"/>
            <family val="2"/>
            <scheme val="minor"/>
          </rPr>
          <t xml:space="preserve">La </t>
        </r>
        <r>
          <rPr>
            <b/>
            <sz val="9"/>
            <color indexed="81"/>
            <rFont val="Calibri"/>
            <family val="2"/>
            <scheme val="minor"/>
          </rPr>
          <t>VO2 max</t>
        </r>
        <r>
          <rPr>
            <sz val="9"/>
            <color indexed="81"/>
            <rFont val="Calibri"/>
            <family val="2"/>
            <scheme val="minor"/>
          </rPr>
          <t xml:space="preserve"> représente la consommation maximale d'oxygène d'un individu lors d'un effort physique. La VO2max est souvent indiquée par les montres permettant de mesurer l'activité cardiaque (mesure au poignet ou sur capteur). Il existe un coefficient théorique de conversion entre VO2 max et VMA.</t>
        </r>
        <r>
          <rPr>
            <sz val="9"/>
            <color indexed="81"/>
            <rFont val="Tahoma"/>
            <family val="2"/>
          </rPr>
          <t xml:space="preserve">
</t>
        </r>
      </text>
    </comment>
    <comment ref="B8" authorId="0" shapeId="0" xr:uid="{00000000-0006-0000-0000-000005000000}">
      <text>
        <r>
          <rPr>
            <sz val="9"/>
            <color indexed="81"/>
            <rFont val="Tahoma"/>
            <family val="2"/>
          </rPr>
          <t xml:space="preserve">La </t>
        </r>
        <r>
          <rPr>
            <b/>
            <sz val="9"/>
            <color indexed="81"/>
            <rFont val="Tahoma"/>
            <family val="2"/>
          </rPr>
          <t>VMA (Vitesse Maximale Aérobie)</t>
        </r>
        <r>
          <rPr>
            <sz val="9"/>
            <color indexed="81"/>
            <rFont val="Tahoma"/>
            <family val="2"/>
          </rPr>
          <t xml:space="preserve"> correspond à la vitesse à laquelle vous atteignez votre consommation maximale d'oxygène (VO2 max). </t>
        </r>
        <r>
          <rPr>
            <b/>
            <sz val="9"/>
            <color indexed="81"/>
            <rFont val="Tahoma"/>
            <family val="2"/>
          </rPr>
          <t>Il ne s'agit pas de votre vitesse maximale de course à pied</t>
        </r>
        <r>
          <rPr>
            <sz val="9"/>
            <color indexed="81"/>
            <rFont val="Tahoma"/>
            <family val="2"/>
          </rPr>
          <t xml:space="preserve">.
</t>
        </r>
      </text>
    </comment>
    <comment ref="D10" authorId="0" shapeId="0" xr:uid="{00000000-0006-0000-0000-000006000000}">
      <text>
        <r>
          <rPr>
            <b/>
            <sz val="9"/>
            <color indexed="81"/>
            <rFont val="Calibri"/>
            <family val="2"/>
            <scheme val="minor"/>
          </rPr>
          <t>Niveau de forme : de 0 (totalement épuisé) à 100 (pleine forme). Purement indicatif, indicateur pouvant varier très fortement selon les athlètes. Notion indiqué via le "Body Charge" chez Garmin sur certaines montres. L'entraînement sur la fatigue permet de bénéficier d'une surcompensation lors des repos.</t>
        </r>
        <r>
          <rPr>
            <sz val="9"/>
            <color indexed="81"/>
            <rFont val="Tahoma"/>
            <family val="2"/>
          </rPr>
          <t xml:space="preserve">
</t>
        </r>
      </text>
    </comment>
  </commentList>
</comments>
</file>

<file path=xl/sharedStrings.xml><?xml version="1.0" encoding="utf-8"?>
<sst xmlns="http://schemas.openxmlformats.org/spreadsheetml/2006/main" count="184" uniqueCount="71">
  <si>
    <t>Mardi</t>
  </si>
  <si>
    <t>Mercredi</t>
  </si>
  <si>
    <t>Jeudi</t>
  </si>
  <si>
    <t>Samedi</t>
  </si>
  <si>
    <t>Dimanche</t>
  </si>
  <si>
    <t>Lundi</t>
  </si>
  <si>
    <t>Vendredi</t>
  </si>
  <si>
    <t>Reprise</t>
  </si>
  <si>
    <t>Durée effort CAP</t>
  </si>
  <si>
    <t>Etat de fatigue</t>
  </si>
  <si>
    <t>🏁</t>
  </si>
  <si>
    <t>D+</t>
  </si>
  <si>
    <t>♨</t>
  </si>
  <si>
    <t>🚲</t>
  </si>
  <si>
    <t>km/h</t>
  </si>
  <si>
    <t>F. Vitesse</t>
  </si>
  <si>
    <t>Vitesse pondérée</t>
  </si>
  <si>
    <t>min</t>
  </si>
  <si>
    <t>sec</t>
  </si>
  <si>
    <t>😌</t>
  </si>
  <si>
    <t>: Sortie nocturne</t>
  </si>
  <si>
    <t>🌘</t>
  </si>
  <si>
    <t>Pleine forme</t>
  </si>
  <si>
    <t>Durée</t>
  </si>
  <si>
    <t>VMA</t>
  </si>
  <si>
    <t>Nature</t>
  </si>
  <si>
    <t>VO2max</t>
  </si>
  <si>
    <t>mL/min</t>
  </si>
  <si>
    <t xml:space="preserve">Echauffement avec gammes : 30' + 2 x (10 x 30"X30" ) à 105% VMA récup active(60%) R:1'30 + 10' footing  + étirements  </t>
  </si>
  <si>
    <t>Durées séances en minutes</t>
  </si>
  <si>
    <t>Ma VO2 max</t>
  </si>
  <si>
    <t>vma théo.</t>
  </si>
  <si>
    <t>Route/chemin</t>
  </si>
  <si>
    <t>Mail</t>
  </si>
  <si>
    <t>Lieux</t>
  </si>
  <si>
    <t xml:space="preserve">Course: 10km  forestier de Roissy
Sortie longue 1h30 : Endurance fondamentale (70%) 1h30  Terrain vallonné  + exercices techniques
Groupe pour la reprise ou nouvelle adhérent: alterner course 12' et marche 3': </t>
  </si>
  <si>
    <t>: Séance avec exercices complémentaires (gainages, pompes, etc.)</t>
  </si>
  <si>
    <t>Marche nordique</t>
  </si>
  <si>
    <t>PHASES</t>
  </si>
  <si>
    <t>BUSSY RUNNING</t>
  </si>
  <si>
    <t>Lac</t>
  </si>
  <si>
    <t>🏃</t>
  </si>
  <si>
    <t>: Objectif semi-marathon</t>
  </si>
  <si>
    <r>
      <t xml:space="preserve">: </t>
    </r>
    <r>
      <rPr>
        <b/>
        <sz val="10"/>
        <rFont val="Arial"/>
        <family val="2"/>
      </rPr>
      <t>Compétition (proposée par le Club)</t>
    </r>
  </si>
  <si>
    <t>Calcul de ma VMA à partir de ma VO2max</t>
  </si>
  <si>
    <t>: Endurance physique/mentale</t>
  </si>
  <si>
    <t xml:space="preserve">: 40 min footing dont échauffement de 30 min avec gammes, 10 min récup post séance (+ étirements si souhaités) </t>
  </si>
  <si>
    <t>Piste</t>
  </si>
  <si>
    <t>Route/nature</t>
  </si>
  <si>
    <t>Grand Morin</t>
  </si>
  <si>
    <t>% VMA</t>
  </si>
  <si>
    <t>min/km</t>
  </si>
  <si>
    <t>VMA cible recommandée (mais modifiable selon votre objectif)</t>
  </si>
  <si>
    <t>% VMA cible (vous pouvez la modifier selon votre objectif)</t>
  </si>
  <si>
    <t>Niveau de Forme</t>
  </si>
  <si>
    <r>
      <rPr>
        <b/>
        <sz val="10"/>
        <color rgb="FFFF0000"/>
        <rFont val="Arial"/>
        <family val="2"/>
      </rPr>
      <t>Les séances du samedi</t>
    </r>
    <r>
      <rPr>
        <b/>
        <sz val="10"/>
        <rFont val="Arial"/>
        <family val="2"/>
      </rPr>
      <t xml:space="preserve"> sont facultatives et ne sont pas encadrées 
</t>
    </r>
    <r>
      <rPr>
        <b/>
        <sz val="10"/>
        <color rgb="FFFF0000"/>
        <rFont val="Arial"/>
        <family val="2"/>
      </rPr>
      <t>Compétition :</t>
    </r>
    <r>
      <rPr>
        <b/>
        <sz val="10"/>
        <rFont val="Arial"/>
        <family val="2"/>
      </rPr>
      <t xml:space="preserve"> du jeudi précédent la compétition au mardi suivant cette compétition prévoir du repos et uniquement des séances de footing </t>
    </r>
  </si>
  <si>
    <t>TEST VMA</t>
  </si>
  <si>
    <t>Sortie Trail: Le Morin nouveaux parcours 14 - 20 km</t>
  </si>
  <si>
    <t xml:space="preserve">Compétition: Mucotrail 11 - 22 km </t>
  </si>
  <si>
    <t>Bagneaux sur Loing</t>
  </si>
  <si>
    <t>Vieux village</t>
  </si>
  <si>
    <t>Travail sur la foulée + 10 lignes droites en accélération progressive</t>
  </si>
  <si>
    <t>PLAN D'ENTRAÎNEMENT GENERAL 2023</t>
  </si>
  <si>
    <t>Sortie Trail By Benoit</t>
  </si>
  <si>
    <t>Mystery</t>
  </si>
  <si>
    <t>1 - J'indique ma VMA (Vitesse Maximale Aérobie)</t>
  </si>
  <si>
    <t>Terrain vallonné</t>
  </si>
  <si>
    <t>Compétition : Championnat départemental cross Torcy</t>
  </si>
  <si>
    <t>Préparation Générale</t>
  </si>
  <si>
    <t xml:space="preserve">A propos de l'état de fatigue : indicateur de forme, pour les adeptes de montres connectées, cela s'apparente au "Body Charge" sur Garmin. Le principe d'un entraînement pour un ULTRA est d'effectuer des sorties en état de fatigue, puis de laisser son corps au repos afin de bénéficier d'un effet de surcompensation (semaines de régénération). </t>
  </si>
  <si>
    <t>Epuisée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</si>
</sst>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mmm"/>
    <numFmt numFmtId="165" formatCode="d\-mmm\-yy"/>
    <numFmt numFmtId="166" formatCode="0.0"/>
  </numFmts>
  <fonts count="28" x14ac:knownFonts="1">
    <font>
      <sz val="10"/>
      <name val="Arial"/>
    </font>
    <font>
      <sz val="10"/>
      <name val="Arial"/>
      <family val="2"/>
    </font>
    <font>
      <b/>
      <sz val="12"/>
      <name val="Arial"/>
      <family val="2"/>
    </font>
    <font>
      <b/>
      <sz val="10"/>
      <name val="Arial"/>
      <family val="2"/>
    </font>
    <font>
      <i/>
      <sz val="10"/>
      <name val="Arial"/>
      <family val="2"/>
    </font>
    <font>
      <sz val="10"/>
      <color indexed="10"/>
      <name val="Arial"/>
      <family val="2"/>
    </font>
    <font>
      <b/>
      <sz val="12"/>
      <color theme="0"/>
      <name val="Arial"/>
      <family val="2"/>
    </font>
    <font>
      <sz val="10"/>
      <color theme="0"/>
      <name val="Arial"/>
      <family val="2"/>
    </font>
    <font>
      <sz val="11"/>
      <color rgb="FF4D5156"/>
      <name val="Arial"/>
      <family val="2"/>
    </font>
    <font>
      <sz val="11"/>
      <color theme="5"/>
      <name val="Arial"/>
      <family val="2"/>
    </font>
    <font>
      <b/>
      <sz val="10"/>
      <color theme="0"/>
      <name val="Arial"/>
      <family val="2"/>
    </font>
    <font>
      <sz val="11"/>
      <color rgb="FF00B050"/>
      <name val="Arial"/>
      <family val="2"/>
    </font>
    <font>
      <i/>
      <sz val="8"/>
      <name val="Arial"/>
      <family val="2"/>
    </font>
    <font>
      <sz val="9"/>
      <color indexed="81"/>
      <name val="Tahoma"/>
      <family val="2"/>
    </font>
    <font>
      <b/>
      <sz val="9"/>
      <color indexed="81"/>
      <name val="Tahoma"/>
      <family val="2"/>
    </font>
    <font>
      <sz val="9"/>
      <color indexed="81"/>
      <name val="Calibri"/>
      <family val="2"/>
      <scheme val="minor"/>
    </font>
    <font>
      <b/>
      <sz val="9"/>
      <color indexed="81"/>
      <name val="Calibri"/>
      <family val="2"/>
      <scheme val="minor"/>
    </font>
    <font>
      <sz val="9"/>
      <color rgb="FF333333"/>
      <name val="Arial"/>
      <family val="2"/>
    </font>
    <font>
      <sz val="8"/>
      <name val="Arial"/>
      <family val="2"/>
    </font>
    <font>
      <b/>
      <sz val="8"/>
      <name val="Arial"/>
      <family val="2"/>
    </font>
    <font>
      <sz val="8"/>
      <color rgb="FF333333"/>
      <name val="Arial"/>
      <family val="2"/>
    </font>
    <font>
      <b/>
      <i/>
      <sz val="20"/>
      <color theme="0" tint="-0.499984740745262"/>
      <name val="Arial"/>
      <family val="2"/>
    </font>
    <font>
      <u/>
      <sz val="10"/>
      <color theme="10"/>
      <name val="Arial"/>
      <family val="2"/>
    </font>
    <font>
      <b/>
      <sz val="20"/>
      <name val="Arial"/>
      <family val="2"/>
    </font>
    <font>
      <sz val="20"/>
      <name val="Arial"/>
      <family val="2"/>
    </font>
    <font>
      <b/>
      <sz val="10"/>
      <name val="Bahnschrift"/>
      <family val="2"/>
    </font>
    <font>
      <sz val="10"/>
      <color rgb="FFFF0000"/>
      <name val="Arial"/>
      <family val="2"/>
    </font>
    <font>
      <b/>
      <sz val="10"/>
      <color rgb="FFFF0000"/>
      <name val="Arial"/>
      <family val="2"/>
    </font>
  </fonts>
  <fills count="22">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00000"/>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
      <patternFill patternType="solid">
        <fgColor indexed="41"/>
        <bgColor indexed="64"/>
      </patternFill>
    </fill>
    <fill>
      <patternFill patternType="solid">
        <fgColor indexed="45"/>
        <bgColor indexed="64"/>
      </patternFill>
    </fill>
    <fill>
      <patternFill patternType="solid">
        <fgColor indexed="1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2" fillId="0" borderId="0" applyNumberFormat="0" applyFill="0" applyBorder="0" applyAlignment="0" applyProtection="0"/>
    <xf numFmtId="0" fontId="1" fillId="0" borderId="0"/>
  </cellStyleXfs>
  <cellXfs count="161">
    <xf numFmtId="0" fontId="0" fillId="0" borderId="0" xfId="0"/>
    <xf numFmtId="164" fontId="0" fillId="0" borderId="0" xfId="0" applyNumberFormat="1"/>
    <xf numFmtId="165" fontId="0" fillId="0" borderId="0" xfId="0" applyNumberFormat="1"/>
    <xf numFmtId="0" fontId="1" fillId="0" borderId="0" xfId="0" applyFont="1"/>
    <xf numFmtId="164" fontId="0" fillId="2" borderId="0" xfId="0" applyNumberFormat="1" applyFill="1"/>
    <xf numFmtId="0" fontId="1" fillId="0" borderId="0" xfId="0" applyFont="1" applyAlignment="1">
      <alignment horizontal="center"/>
    </xf>
    <xf numFmtId="0" fontId="1" fillId="2" borderId="0" xfId="0" applyFont="1" applyFill="1" applyAlignment="1">
      <alignment horizontal="center"/>
    </xf>
    <xf numFmtId="0" fontId="1" fillId="0" borderId="0" xfId="0" applyFont="1" applyAlignment="1">
      <alignment horizontal="center" vertical="center"/>
    </xf>
    <xf numFmtId="0" fontId="4" fillId="0" borderId="0" xfId="0" applyFont="1"/>
    <xf numFmtId="0" fontId="5" fillId="0" borderId="0" xfId="0" applyFont="1"/>
    <xf numFmtId="0" fontId="0" fillId="4" borderId="0" xfId="0" applyFill="1"/>
    <xf numFmtId="0" fontId="0" fillId="0" borderId="0" xfId="0" applyAlignment="1">
      <alignment horizontal="center" vertical="center"/>
    </xf>
    <xf numFmtId="0" fontId="0" fillId="8" borderId="0" xfId="0" applyFill="1"/>
    <xf numFmtId="0" fontId="0" fillId="9" borderId="0" xfId="0" applyFill="1"/>
    <xf numFmtId="0" fontId="0" fillId="10" borderId="0" xfId="0" applyFill="1"/>
    <xf numFmtId="0" fontId="0" fillId="7" borderId="0" xfId="0" applyFill="1"/>
    <xf numFmtId="0" fontId="0" fillId="6" borderId="0" xfId="0" applyFill="1"/>
    <xf numFmtId="0" fontId="0" fillId="12" borderId="0" xfId="0" applyFill="1"/>
    <xf numFmtId="0" fontId="0" fillId="13" borderId="0" xfId="0" applyFill="1"/>
    <xf numFmtId="0" fontId="0" fillId="14" borderId="0" xfId="0" applyFill="1"/>
    <xf numFmtId="0" fontId="0" fillId="15" borderId="0" xfId="0" applyFill="1"/>
    <xf numFmtId="0" fontId="3" fillId="0" borderId="0" xfId="0" applyFont="1"/>
    <xf numFmtId="0" fontId="1" fillId="16" borderId="0" xfId="0" applyFont="1" applyFill="1"/>
    <xf numFmtId="0" fontId="0" fillId="16" borderId="0" xfId="0" applyFill="1"/>
    <xf numFmtId="164" fontId="0" fillId="16" borderId="0" xfId="0" applyNumberFormat="1" applyFill="1"/>
    <xf numFmtId="165" fontId="0" fillId="16" borderId="0" xfId="0" applyNumberFormat="1" applyFill="1"/>
    <xf numFmtId="0" fontId="1" fillId="16" borderId="0" xfId="0" applyFont="1" applyFill="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5" borderId="0" xfId="0" applyFont="1" applyFill="1" applyAlignment="1">
      <alignment horizontal="center"/>
    </xf>
    <xf numFmtId="0" fontId="11" fillId="0" borderId="0" xfId="0" applyFont="1" applyAlignment="1">
      <alignment horizontal="center"/>
    </xf>
    <xf numFmtId="0" fontId="3" fillId="16" borderId="0" xfId="0" applyFont="1" applyFill="1"/>
    <xf numFmtId="0" fontId="3" fillId="16" borderId="0" xfId="0" applyFont="1" applyFill="1" applyAlignment="1">
      <alignment horizontal="center"/>
    </xf>
    <xf numFmtId="0" fontId="4" fillId="0" borderId="0" xfId="0" applyFont="1" applyAlignment="1">
      <alignment horizontal="center"/>
    </xf>
    <xf numFmtId="0" fontId="12" fillId="0" borderId="0" xfId="0" applyFont="1" applyAlignment="1">
      <alignment wrapText="1"/>
    </xf>
    <xf numFmtId="0" fontId="4" fillId="16" borderId="0" xfId="0" applyFont="1" applyFill="1" applyAlignment="1">
      <alignment horizontal="center"/>
    </xf>
    <xf numFmtId="0" fontId="0" fillId="16" borderId="0" xfId="0" applyFill="1" applyAlignment="1">
      <alignment horizontal="center"/>
    </xf>
    <xf numFmtId="0" fontId="12" fillId="0" borderId="0" xfId="0" applyFont="1"/>
    <xf numFmtId="0" fontId="1" fillId="12" borderId="0" xfId="0" applyFont="1" applyFill="1" applyAlignment="1">
      <alignment horizontal="center"/>
    </xf>
    <xf numFmtId="0" fontId="1" fillId="12" borderId="0" xfId="0" applyFont="1" applyFill="1"/>
    <xf numFmtId="0" fontId="0" fillId="0" borderId="0" xfId="0" applyAlignment="1">
      <alignment horizontal="center"/>
    </xf>
    <xf numFmtId="0" fontId="17" fillId="12" borderId="0" xfId="0" applyFont="1" applyFill="1"/>
    <xf numFmtId="165" fontId="1" fillId="12" borderId="0" xfId="0" applyNumberFormat="1" applyFont="1" applyFill="1"/>
    <xf numFmtId="0" fontId="18" fillId="12" borderId="0" xfId="0" applyFont="1" applyFill="1"/>
    <xf numFmtId="0" fontId="9" fillId="16" borderId="0" xfId="0" applyFont="1" applyFill="1" applyAlignment="1">
      <alignment horizontal="center"/>
    </xf>
    <xf numFmtId="0" fontId="20" fillId="12" borderId="0" xfId="0" applyFont="1" applyFill="1"/>
    <xf numFmtId="2" fontId="10" fillId="5" borderId="0" xfId="0" applyNumberFormat="1" applyFont="1" applyFill="1" applyAlignment="1">
      <alignment horizontal="center"/>
    </xf>
    <xf numFmtId="164" fontId="1" fillId="16" borderId="0" xfId="0" applyNumberFormat="1" applyFont="1" applyFill="1"/>
    <xf numFmtId="0" fontId="7" fillId="18" borderId="0" xfId="0" applyFont="1" applyFill="1" applyAlignment="1">
      <alignment horizontal="center" textRotation="102"/>
    </xf>
    <xf numFmtId="164" fontId="6" fillId="18" borderId="0" xfId="0" applyNumberFormat="1" applyFont="1" applyFill="1" applyAlignment="1">
      <alignment horizontal="center" vertical="center"/>
    </xf>
    <xf numFmtId="0" fontId="7" fillId="18" borderId="0" xfId="0" applyFont="1" applyFill="1" applyAlignment="1">
      <alignment horizontal="center" vertical="center"/>
    </xf>
    <xf numFmtId="0" fontId="7" fillId="18" borderId="0" xfId="0" applyFont="1" applyFill="1" applyAlignment="1">
      <alignment horizontal="center" vertical="center" wrapText="1"/>
    </xf>
    <xf numFmtId="0" fontId="21" fillId="12" borderId="0" xfId="0" applyFont="1" applyFill="1" applyAlignment="1">
      <alignment horizontal="center" vertical="center"/>
    </xf>
    <xf numFmtId="0" fontId="1" fillId="0" borderId="0" xfId="0" applyFont="1" applyAlignment="1">
      <alignment horizontal="left"/>
    </xf>
    <xf numFmtId="164" fontId="0" fillId="17" borderId="0" xfId="0" applyNumberFormat="1" applyFill="1"/>
    <xf numFmtId="0" fontId="22" fillId="0" borderId="0" xfId="1" applyAlignment="1">
      <alignment horizontal="center" vertical="center" wrapText="1"/>
    </xf>
    <xf numFmtId="0" fontId="8" fillId="16" borderId="0" xfId="0" applyFont="1" applyFill="1" applyAlignment="1">
      <alignment horizontal="center"/>
    </xf>
    <xf numFmtId="0" fontId="1" fillId="16" borderId="0" xfId="0" applyFont="1" applyFill="1" applyAlignment="1">
      <alignment horizontal="left"/>
    </xf>
    <xf numFmtId="0" fontId="22" fillId="16" borderId="0" xfId="1" applyFill="1" applyAlignment="1">
      <alignment horizontal="center" vertical="center" wrapText="1"/>
    </xf>
    <xf numFmtId="0" fontId="1" fillId="16" borderId="0" xfId="0" applyFont="1" applyFill="1" applyAlignment="1">
      <alignment horizontal="left" vertical="center" wrapText="1"/>
    </xf>
    <xf numFmtId="0" fontId="23" fillId="0" borderId="0" xfId="0" applyFont="1" applyAlignment="1">
      <alignment horizontal="right" vertical="center" shrinkToFit="1"/>
    </xf>
    <xf numFmtId="166" fontId="23" fillId="0" borderId="0" xfId="0" applyNumberFormat="1" applyFont="1" applyAlignment="1">
      <alignment horizontal="center" vertical="center" shrinkToFit="1"/>
    </xf>
    <xf numFmtId="2" fontId="23" fillId="0" borderId="0" xfId="0" applyNumberFormat="1" applyFont="1" applyAlignment="1">
      <alignment horizontal="left" vertical="center" shrinkToFit="1"/>
    </xf>
    <xf numFmtId="0" fontId="24" fillId="0" borderId="0" xfId="0" applyFont="1"/>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2" fontId="23" fillId="0" borderId="3" xfId="0" applyNumberFormat="1" applyFont="1" applyBorder="1" applyAlignment="1">
      <alignment horizontal="center" vertical="center" shrinkToFit="1"/>
    </xf>
    <xf numFmtId="21" fontId="24" fillId="0" borderId="3" xfId="0" applyNumberFormat="1" applyFont="1" applyBorder="1" applyAlignment="1">
      <alignment horizontal="center" vertical="center" shrinkToFit="1"/>
    </xf>
    <xf numFmtId="0" fontId="23" fillId="19" borderId="2"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3" fillId="20" borderId="2" xfId="0" applyFont="1" applyFill="1" applyBorder="1" applyAlignment="1">
      <alignment horizontal="center" vertical="center" shrinkToFit="1"/>
    </xf>
    <xf numFmtId="0" fontId="23" fillId="21" borderId="2" xfId="0" applyFont="1" applyFill="1" applyBorder="1" applyAlignment="1">
      <alignment horizontal="center" vertical="center" shrinkToFit="1"/>
    </xf>
    <xf numFmtId="164" fontId="0" fillId="0" borderId="0" xfId="0" applyNumberFormat="1" applyAlignment="1">
      <alignment horizontal="left" vertical="center"/>
    </xf>
    <xf numFmtId="9" fontId="1" fillId="0" borderId="0" xfId="0" applyNumberFormat="1" applyFont="1"/>
    <xf numFmtId="9" fontId="1" fillId="16" borderId="0" xfId="0" applyNumberFormat="1" applyFont="1" applyFill="1"/>
    <xf numFmtId="0" fontId="3"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18" borderId="0" xfId="0" applyFont="1" applyFill="1" applyAlignment="1">
      <alignment horizontal="center" vertical="center" textRotation="255"/>
    </xf>
    <xf numFmtId="0" fontId="0" fillId="12" borderId="0" xfId="0" applyFill="1" applyAlignment="1">
      <alignment horizontal="center" vertical="center"/>
    </xf>
    <xf numFmtId="165" fontId="0" fillId="12" borderId="0" xfId="0" applyNumberFormat="1" applyFill="1" applyAlignment="1">
      <alignment horizontal="center" vertical="center"/>
    </xf>
    <xf numFmtId="0" fontId="0" fillId="16" borderId="0" xfId="0" applyFill="1" applyAlignment="1">
      <alignment horizontal="center" vertical="center"/>
    </xf>
    <xf numFmtId="165" fontId="0" fillId="0" borderId="0" xfId="0" applyNumberFormat="1" applyAlignment="1">
      <alignment horizontal="center" vertical="center"/>
    </xf>
    <xf numFmtId="164" fontId="2" fillId="4" borderId="1" xfId="0" applyNumberFormat="1" applyFont="1" applyFill="1" applyBorder="1" applyAlignment="1">
      <alignment horizontal="center" vertical="center" wrapText="1"/>
    </xf>
    <xf numFmtId="0" fontId="3" fillId="16" borderId="0" xfId="0" applyFont="1" applyFill="1" applyAlignment="1">
      <alignment horizontal="left"/>
    </xf>
    <xf numFmtId="164" fontId="3" fillId="4" borderId="1" xfId="0" quotePrefix="1" applyNumberFormat="1" applyFont="1" applyFill="1" applyBorder="1" applyAlignment="1">
      <alignment horizontal="left" vertical="center" wrapText="1"/>
    </xf>
    <xf numFmtId="164" fontId="0" fillId="2" borderId="0" xfId="0" applyNumberFormat="1" applyFill="1" applyAlignment="1">
      <alignment vertical="center"/>
    </xf>
    <xf numFmtId="0" fontId="0" fillId="0" borderId="0" xfId="0" applyAlignment="1">
      <alignment vertical="center"/>
    </xf>
    <xf numFmtId="165" fontId="0" fillId="2" borderId="0" xfId="0" applyNumberFormat="1" applyFill="1" applyAlignment="1">
      <alignment vertical="center"/>
    </xf>
    <xf numFmtId="165" fontId="0" fillId="16" borderId="0" xfId="0" applyNumberFormat="1" applyFill="1" applyAlignment="1">
      <alignment vertical="center"/>
    </xf>
    <xf numFmtId="164" fontId="0" fillId="16" borderId="0" xfId="0" applyNumberFormat="1" applyFill="1" applyAlignment="1">
      <alignment vertical="center"/>
    </xf>
    <xf numFmtId="0" fontId="1" fillId="11" borderId="0" xfId="0" applyFont="1" applyFill="1" applyAlignment="1">
      <alignment horizontal="right"/>
    </xf>
    <xf numFmtId="164" fontId="6" fillId="18" borderId="0" xfId="0" applyNumberFormat="1" applyFont="1" applyFill="1" applyAlignment="1">
      <alignment horizontal="right" vertical="center"/>
    </xf>
    <xf numFmtId="165" fontId="1" fillId="16" borderId="0" xfId="0" applyNumberFormat="1" applyFont="1" applyFill="1" applyAlignment="1">
      <alignment horizontal="right"/>
    </xf>
    <xf numFmtId="165" fontId="0" fillId="0" borderId="0" xfId="0" applyNumberFormat="1" applyAlignment="1">
      <alignment horizontal="right"/>
    </xf>
    <xf numFmtId="165" fontId="0" fillId="17" borderId="0" xfId="0" applyNumberFormat="1" applyFill="1" applyAlignment="1">
      <alignment horizontal="right"/>
    </xf>
    <xf numFmtId="165" fontId="0" fillId="0" borderId="0" xfId="0" applyNumberFormat="1" applyAlignment="1">
      <alignment horizontal="right" vertical="center"/>
    </xf>
    <xf numFmtId="165" fontId="0" fillId="2" borderId="0" xfId="0" applyNumberFormat="1" applyFill="1" applyAlignment="1">
      <alignment horizontal="right"/>
    </xf>
    <xf numFmtId="165" fontId="0" fillId="16" borderId="0" xfId="0" applyNumberFormat="1" applyFill="1" applyAlignment="1">
      <alignment horizontal="right"/>
    </xf>
    <xf numFmtId="165" fontId="0" fillId="0" borderId="0" xfId="0" applyNumberFormat="1" applyAlignment="1">
      <alignment horizontal="right" shrinkToFit="1"/>
    </xf>
    <xf numFmtId="0" fontId="0" fillId="0" borderId="0" xfId="0" applyAlignment="1">
      <alignment horizontal="right" vertical="center" shrinkToFit="1"/>
    </xf>
    <xf numFmtId="0" fontId="2" fillId="0" borderId="0" xfId="0" applyFont="1" applyAlignment="1">
      <alignment vertical="center" textRotation="90"/>
    </xf>
    <xf numFmtId="0" fontId="1" fillId="0" borderId="0" xfId="0" applyFont="1" applyAlignment="1">
      <alignment vertical="center"/>
    </xf>
    <xf numFmtId="165" fontId="1" fillId="0" borderId="0" xfId="0" applyNumberFormat="1" applyFont="1" applyAlignment="1">
      <alignment horizontal="right"/>
    </xf>
    <xf numFmtId="0" fontId="1" fillId="0" borderId="0" xfId="2"/>
    <xf numFmtId="164" fontId="0" fillId="0" borderId="0" xfId="0" applyNumberFormat="1" applyAlignment="1">
      <alignment vertical="center"/>
    </xf>
    <xf numFmtId="0" fontId="1" fillId="0" borderId="0" xfId="0" applyFont="1" applyAlignment="1">
      <alignment horizontal="left" vertical="center"/>
    </xf>
    <xf numFmtId="9" fontId="1" fillId="0" borderId="0" xfId="0" applyNumberFormat="1" applyFont="1" applyAlignment="1">
      <alignment horizontal="left" vertical="center"/>
    </xf>
    <xf numFmtId="0" fontId="0" fillId="0" borderId="0" xfId="0" applyAlignment="1">
      <alignment vertical="top" wrapText="1"/>
    </xf>
    <xf numFmtId="0" fontId="1" fillId="0" borderId="0" xfId="0" applyFont="1" applyAlignment="1">
      <alignment wrapText="1"/>
    </xf>
    <xf numFmtId="0" fontId="9" fillId="0" borderId="0" xfId="0" applyFont="1" applyAlignment="1">
      <alignment horizontal="center" vertical="center"/>
    </xf>
    <xf numFmtId="20" fontId="0" fillId="12" borderId="0" xfId="0" applyNumberFormat="1" applyFill="1"/>
    <xf numFmtId="20" fontId="0" fillId="0" borderId="0" xfId="0" applyNumberFormat="1"/>
    <xf numFmtId="20" fontId="2" fillId="3" borderId="0" xfId="0" applyNumberFormat="1" applyFont="1" applyFill="1" applyAlignment="1">
      <alignment horizontal="center" vertical="center"/>
    </xf>
    <xf numFmtId="20" fontId="1" fillId="0" borderId="0" xfId="0" applyNumberFormat="1" applyFont="1"/>
    <xf numFmtId="20" fontId="0" fillId="0" borderId="0" xfId="0" applyNumberFormat="1" applyAlignment="1">
      <alignment horizontal="center" vertical="center" wrapText="1"/>
    </xf>
    <xf numFmtId="20" fontId="0" fillId="2" borderId="0" xfId="0" applyNumberFormat="1" applyFill="1" applyAlignment="1">
      <alignment horizontal="center"/>
    </xf>
    <xf numFmtId="20" fontId="0" fillId="17" borderId="0" xfId="0" applyNumberFormat="1" applyFill="1"/>
    <xf numFmtId="20" fontId="0" fillId="16" borderId="0" xfId="0" applyNumberFormat="1" applyFill="1"/>
    <xf numFmtId="20" fontId="0" fillId="16" borderId="0" xfId="0" applyNumberFormat="1" applyFill="1" applyAlignment="1">
      <alignment horizontal="center"/>
    </xf>
    <xf numFmtId="20" fontId="0" fillId="0" borderId="0" xfId="0" applyNumberFormat="1" applyAlignment="1">
      <alignment horizontal="left" vertical="center"/>
    </xf>
    <xf numFmtId="20" fontId="0" fillId="0" borderId="0" xfId="0" applyNumberFormat="1" applyAlignment="1">
      <alignment horizontal="center" vertical="center"/>
    </xf>
    <xf numFmtId="0" fontId="0" fillId="16" borderId="10" xfId="0" applyFill="1" applyBorder="1"/>
    <xf numFmtId="0" fontId="1" fillId="16" borderId="11" xfId="0" applyFont="1" applyFill="1" applyBorder="1"/>
    <xf numFmtId="0" fontId="1" fillId="16" borderId="12" xfId="0" applyFont="1" applyFill="1" applyBorder="1" applyAlignment="1">
      <alignment horizontal="center"/>
    </xf>
    <xf numFmtId="0" fontId="3" fillId="16" borderId="11" xfId="0" applyFont="1" applyFill="1" applyBorder="1" applyAlignment="1">
      <alignment horizontal="center"/>
    </xf>
    <xf numFmtId="0" fontId="2" fillId="4" borderId="0" xfId="0" applyFont="1" applyFill="1" applyAlignment="1">
      <alignment horizontal="center" vertical="center" textRotation="90"/>
    </xf>
    <xf numFmtId="165" fontId="0" fillId="17" borderId="0" xfId="0" applyNumberFormat="1" applyFill="1" applyAlignment="1">
      <alignment horizontal="center" vertical="center"/>
    </xf>
    <xf numFmtId="0" fontId="19" fillId="12" borderId="0" xfId="0" applyFont="1" applyFill="1"/>
    <xf numFmtId="0" fontId="18" fillId="12" borderId="0" xfId="0" applyFont="1" applyFill="1"/>
    <xf numFmtId="0" fontId="0" fillId="0" borderId="0" xfId="0"/>
    <xf numFmtId="164" fontId="0" fillId="4" borderId="4" xfId="0" applyNumberFormat="1" applyFill="1" applyBorder="1" applyAlignment="1">
      <alignment horizontal="center"/>
    </xf>
    <xf numFmtId="164" fontId="0" fillId="4" borderId="5" xfId="0" applyNumberFormat="1" applyFill="1" applyBorder="1" applyAlignment="1">
      <alignment horizontal="center"/>
    </xf>
    <xf numFmtId="164" fontId="0" fillId="4" borderId="6" xfId="0" applyNumberFormat="1" applyFill="1" applyBorder="1" applyAlignment="1">
      <alignment horizontal="center"/>
    </xf>
    <xf numFmtId="164" fontId="0" fillId="4" borderId="7" xfId="0" applyNumberFormat="1" applyFill="1" applyBorder="1" applyAlignment="1">
      <alignment horizontal="center"/>
    </xf>
    <xf numFmtId="0" fontId="1" fillId="0" borderId="0" xfId="0" applyFont="1" applyAlignment="1">
      <alignment horizontal="center" vertical="center"/>
    </xf>
    <xf numFmtId="0" fontId="2" fillId="5" borderId="0" xfId="0" applyFont="1" applyFill="1" applyAlignment="1">
      <alignment horizontal="center" vertical="center" textRotation="90"/>
    </xf>
    <xf numFmtId="0" fontId="1" fillId="0" borderId="0" xfId="0" applyFont="1"/>
    <xf numFmtId="20" fontId="1" fillId="0" borderId="0" xfId="0" applyNumberFormat="1" applyFont="1" applyAlignment="1">
      <alignment horizontal="center" vertical="center" wrapText="1"/>
    </xf>
    <xf numFmtId="20" fontId="0" fillId="0" borderId="0" xfId="0" applyNumberFormat="1" applyAlignment="1">
      <alignment horizontal="center" vertical="center" wrapText="1"/>
    </xf>
    <xf numFmtId="164" fontId="2"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0" fontId="2" fillId="4" borderId="0" xfId="0" applyNumberFormat="1" applyFont="1" applyFill="1" applyAlignment="1">
      <alignment horizontal="center" vertical="center" wrapText="1"/>
    </xf>
    <xf numFmtId="164" fontId="2" fillId="3" borderId="8" xfId="0" applyNumberFormat="1" applyFont="1" applyFill="1" applyBorder="1" applyAlignment="1">
      <alignment horizontal="center" vertical="center"/>
    </xf>
    <xf numFmtId="164" fontId="2" fillId="3" borderId="9" xfId="0" applyNumberFormat="1" applyFont="1" applyFill="1" applyBorder="1" applyAlignment="1">
      <alignment horizontal="center" vertical="center"/>
    </xf>
    <xf numFmtId="164" fontId="0" fillId="16" borderId="0" xfId="0" applyNumberFormat="1" applyFill="1" applyAlignment="1">
      <alignment vertical="center"/>
    </xf>
    <xf numFmtId="0" fontId="0" fillId="0" borderId="0" xfId="0" applyAlignment="1">
      <alignment vertical="center"/>
    </xf>
    <xf numFmtId="165" fontId="0" fillId="16" borderId="0" xfId="0" applyNumberFormat="1"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3" fillId="12" borderId="0" xfId="0" applyFont="1" applyFill="1"/>
    <xf numFmtId="164" fontId="1" fillId="0" borderId="0" xfId="0" applyNumberFormat="1" applyFont="1" applyAlignment="1">
      <alignment horizontal="left" vertical="center" wrapText="1"/>
    </xf>
    <xf numFmtId="0" fontId="0" fillId="0" borderId="0" xfId="0" applyAlignment="1">
      <alignment horizontal="left" vertical="center" wrapText="1"/>
    </xf>
    <xf numFmtId="0" fontId="0" fillId="12" borderId="0" xfId="0" applyFill="1"/>
    <xf numFmtId="164" fontId="25"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4" borderId="1" xfId="0" applyFont="1" applyFill="1" applyBorder="1" applyAlignment="1">
      <alignment horizontal="center" vertical="center" textRotation="90"/>
    </xf>
    <xf numFmtId="0" fontId="3" fillId="0" borderId="1" xfId="0" applyFont="1" applyBorder="1" applyAlignment="1">
      <alignment horizontal="center" vertical="center" textRotation="90"/>
    </xf>
    <xf numFmtId="164" fontId="3" fillId="12" borderId="0" xfId="0" applyNumberFormat="1" applyFont="1" applyFill="1" applyAlignment="1">
      <alignment horizontal="center"/>
    </xf>
    <xf numFmtId="0" fontId="3" fillId="12" borderId="0" xfId="0" applyFont="1" applyFill="1" applyAlignment="1">
      <alignment horizontal="center"/>
    </xf>
    <xf numFmtId="0" fontId="27" fillId="4" borderId="1" xfId="0" applyFont="1" applyFill="1" applyBorder="1" applyAlignment="1">
      <alignment horizontal="center" vertical="center" wrapText="1"/>
    </xf>
    <xf numFmtId="0" fontId="26" fillId="0" borderId="1" xfId="0" applyFont="1" applyBorder="1" applyAlignment="1">
      <alignment horizontal="center" vertical="center" wrapText="1"/>
    </xf>
  </cellXfs>
  <cellStyles count="3">
    <cellStyle name="Lien hypertexte" xfId="1" builtinId="8"/>
    <cellStyle name="Normal" xfId="0" builtinId="0"/>
    <cellStyle name="Normal 2" xfId="2" xr:uid="{00000000-0005-0000-0000-000002000000}"/>
  </cellStyles>
  <dxfs count="20">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00000000-0011-0000-FFFF-FFFF00000000}">
      <tableStyleElement type="wholeTable" dxfId="19"/>
      <tableStyleElement type="headerRow" dxfId="18"/>
    </tableStyle>
  </tableStyles>
  <colors>
    <mruColors>
      <color rgb="FFFF99CC"/>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615388</xdr:colOff>
      <xdr:row>0</xdr:row>
      <xdr:rowOff>3834</xdr:rowOff>
    </xdr:from>
    <xdr:to>
      <xdr:col>6</xdr:col>
      <xdr:colOff>1234440</xdr:colOff>
      <xdr:row>3</xdr:row>
      <xdr:rowOff>967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0608" y="3834"/>
          <a:ext cx="619052" cy="532438"/>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U111"/>
  <sheetViews>
    <sheetView tabSelected="1" topLeftCell="B70" zoomScale="120" zoomScaleNormal="120" workbookViewId="0">
      <selection activeCell="C76" sqref="C76"/>
    </sheetView>
  </sheetViews>
  <sheetFormatPr baseColWidth="10" defaultColWidth="11.42578125" defaultRowHeight="12.75" x14ac:dyDescent="0.2"/>
  <cols>
    <col min="1" max="1" width="6.85546875" customWidth="1"/>
    <col min="2" max="2" width="9.28515625" style="1" bestFit="1" customWidth="1"/>
    <col min="3" max="3" width="14.140625" style="93" customWidth="1"/>
    <col min="4" max="4" width="9.85546875" style="81" customWidth="1"/>
    <col min="5" max="5" width="3.7109375" style="2" bestFit="1" customWidth="1"/>
    <col min="6" max="6" width="69.42578125" customWidth="1"/>
    <col min="7" max="7" width="20.85546875" customWidth="1"/>
    <col min="8" max="8" width="3.85546875" hidden="1" customWidth="1"/>
    <col min="9" max="9" width="17.28515625" style="5" customWidth="1"/>
    <col min="10" max="10" width="9.28515625" style="111" hidden="1" customWidth="1"/>
    <col min="11" max="11" width="11.85546875" style="111" hidden="1" customWidth="1"/>
    <col min="12" max="12" width="11.42578125" style="111" hidden="1" customWidth="1"/>
    <col min="13" max="13" width="9.140625" style="111" hidden="1" customWidth="1"/>
    <col min="14" max="14" width="13" style="111" hidden="1" customWidth="1"/>
    <col min="15" max="15" width="10.28515625" style="111" hidden="1" customWidth="1"/>
    <col min="16" max="16" width="7.85546875" style="111" hidden="1" customWidth="1"/>
    <col min="17" max="17" width="8.7109375" style="111" hidden="1" customWidth="1"/>
    <col min="18" max="18" width="9" style="111" hidden="1" customWidth="1"/>
    <col min="19" max="19" width="8" style="111" hidden="1" customWidth="1"/>
    <col min="20" max="20" width="7.42578125" style="111" hidden="1" customWidth="1"/>
    <col min="21" max="21" width="10.42578125" style="111" hidden="1" customWidth="1"/>
    <col min="22" max="22" width="14.85546875" customWidth="1"/>
    <col min="23" max="23" width="10.140625" customWidth="1"/>
  </cols>
  <sheetData>
    <row r="1" spans="1:18" x14ac:dyDescent="0.2">
      <c r="A1" s="149" t="s">
        <v>65</v>
      </c>
      <c r="B1" s="149"/>
      <c r="C1" s="149"/>
      <c r="D1" s="149"/>
      <c r="E1" s="129"/>
      <c r="F1" s="129"/>
      <c r="G1" s="17"/>
      <c r="H1" s="17"/>
      <c r="I1" s="38"/>
      <c r="J1" s="110"/>
    </row>
    <row r="2" spans="1:18" ht="16.5" customHeight="1" x14ac:dyDescent="0.2">
      <c r="A2" s="41" t="s">
        <v>24</v>
      </c>
      <c r="B2" s="29">
        <v>14</v>
      </c>
      <c r="C2" s="90" t="s">
        <v>14</v>
      </c>
      <c r="D2" s="78"/>
      <c r="E2" s="42"/>
      <c r="F2" s="52" t="s">
        <v>39</v>
      </c>
      <c r="G2" s="17"/>
      <c r="H2" s="17"/>
      <c r="I2" s="38"/>
      <c r="J2" s="110"/>
    </row>
    <row r="3" spans="1:18" x14ac:dyDescent="0.2">
      <c r="A3" s="149" t="s">
        <v>30</v>
      </c>
      <c r="B3" s="152"/>
      <c r="C3" s="152"/>
      <c r="D3" s="129"/>
      <c r="E3" s="129"/>
      <c r="F3" s="129"/>
      <c r="G3" s="39"/>
      <c r="H3" s="39"/>
      <c r="I3" s="38"/>
      <c r="J3" s="110"/>
    </row>
    <row r="4" spans="1:18" x14ac:dyDescent="0.2">
      <c r="A4" s="43" t="s">
        <v>26</v>
      </c>
      <c r="B4" s="29">
        <f>B2*3.5</f>
        <v>49</v>
      </c>
      <c r="C4" s="90" t="s">
        <v>27</v>
      </c>
      <c r="D4" s="78"/>
      <c r="E4" s="55" t="s">
        <v>41</v>
      </c>
      <c r="F4" s="136" t="s">
        <v>42</v>
      </c>
      <c r="G4" s="129"/>
      <c r="H4" s="129"/>
      <c r="I4" s="129"/>
      <c r="J4" s="110"/>
    </row>
    <row r="5" spans="1:18" ht="14.25" x14ac:dyDescent="0.2">
      <c r="A5" s="17"/>
      <c r="B5" s="157"/>
      <c r="C5" s="158"/>
      <c r="D5" s="79"/>
      <c r="E5" s="28" t="s">
        <v>12</v>
      </c>
      <c r="F5" s="136" t="s">
        <v>46</v>
      </c>
      <c r="G5" s="129"/>
      <c r="H5" s="129"/>
      <c r="I5" s="129"/>
      <c r="J5" s="110"/>
      <c r="K5" s="111">
        <f>INT(60/$B$2)</f>
        <v>4</v>
      </c>
      <c r="L5" s="111">
        <f>((60/$B$2)-K5)*60</f>
        <v>17.142857142857135</v>
      </c>
      <c r="M5" s="111">
        <f>B2*2.5</f>
        <v>35</v>
      </c>
      <c r="N5" s="111">
        <f>B2*1.8</f>
        <v>25.2</v>
      </c>
    </row>
    <row r="6" spans="1:18" ht="14.25" x14ac:dyDescent="0.2">
      <c r="A6" s="127" t="s">
        <v>44</v>
      </c>
      <c r="B6" s="128"/>
      <c r="C6" s="128"/>
      <c r="D6" s="129"/>
      <c r="E6" s="30" t="s">
        <v>13</v>
      </c>
      <c r="F6" s="136" t="s">
        <v>36</v>
      </c>
      <c r="G6" s="129"/>
      <c r="H6" s="129"/>
      <c r="I6" s="129"/>
      <c r="J6" s="110"/>
    </row>
    <row r="7" spans="1:18" ht="15.75" customHeight="1" x14ac:dyDescent="0.2">
      <c r="A7" s="43" t="s">
        <v>26</v>
      </c>
      <c r="B7" s="29">
        <v>49</v>
      </c>
      <c r="C7" s="90" t="s">
        <v>27</v>
      </c>
      <c r="D7" s="79"/>
      <c r="E7" s="27" t="s">
        <v>19</v>
      </c>
      <c r="F7" s="136" t="s">
        <v>45</v>
      </c>
      <c r="G7" s="129"/>
      <c r="H7" s="129"/>
      <c r="I7" s="129"/>
      <c r="J7" s="110"/>
    </row>
    <row r="8" spans="1:18" x14ac:dyDescent="0.2">
      <c r="A8" s="45" t="s">
        <v>31</v>
      </c>
      <c r="B8" s="46">
        <f>B7/3.5</f>
        <v>14</v>
      </c>
      <c r="C8" s="90" t="s">
        <v>14</v>
      </c>
      <c r="D8" s="79"/>
      <c r="E8" s="40" t="s">
        <v>10</v>
      </c>
      <c r="F8" s="136" t="s">
        <v>43</v>
      </c>
      <c r="G8" s="129"/>
      <c r="H8" s="129"/>
      <c r="I8" s="129"/>
      <c r="J8" s="110"/>
    </row>
    <row r="9" spans="1:18" ht="14.25" customHeight="1" x14ac:dyDescent="0.2">
      <c r="A9" s="149"/>
      <c r="B9" s="152"/>
      <c r="C9" s="152"/>
      <c r="D9" s="79"/>
      <c r="E9" s="27" t="s">
        <v>21</v>
      </c>
      <c r="F9" s="136" t="s">
        <v>20</v>
      </c>
      <c r="G9" s="129"/>
      <c r="H9" s="129"/>
      <c r="I9" s="129"/>
      <c r="J9" s="110"/>
    </row>
    <row r="10" spans="1:18" ht="37.35" customHeight="1" x14ac:dyDescent="0.2">
      <c r="A10" s="155" t="s">
        <v>38</v>
      </c>
      <c r="B10" s="130"/>
      <c r="C10" s="131"/>
      <c r="D10" s="153" t="s">
        <v>54</v>
      </c>
      <c r="E10" s="142"/>
      <c r="F10" s="82" t="s">
        <v>62</v>
      </c>
      <c r="G10" s="139" t="s">
        <v>34</v>
      </c>
      <c r="H10" s="75" t="s">
        <v>52</v>
      </c>
      <c r="I10" s="159" t="s">
        <v>53</v>
      </c>
      <c r="J10" s="112"/>
      <c r="K10" s="113" t="s">
        <v>15</v>
      </c>
      <c r="L10" s="113" t="s">
        <v>8</v>
      </c>
      <c r="M10" s="113" t="s">
        <v>11</v>
      </c>
      <c r="N10" s="113" t="s">
        <v>16</v>
      </c>
      <c r="O10" s="113" t="s">
        <v>17</v>
      </c>
      <c r="P10" s="113" t="s">
        <v>18</v>
      </c>
      <c r="Q10" s="113" t="s">
        <v>23</v>
      </c>
      <c r="R10" s="137" t="s">
        <v>29</v>
      </c>
    </row>
    <row r="11" spans="1:18" ht="46.35" customHeight="1" x14ac:dyDescent="0.2">
      <c r="A11" s="156"/>
      <c r="B11" s="132"/>
      <c r="C11" s="133"/>
      <c r="D11" s="154"/>
      <c r="E11" s="143"/>
      <c r="F11" s="84" t="s">
        <v>55</v>
      </c>
      <c r="G11" s="140"/>
      <c r="H11" s="76"/>
      <c r="I11" s="160"/>
      <c r="J11" s="141"/>
      <c r="R11" s="138"/>
    </row>
    <row r="12" spans="1:18" ht="12" customHeight="1" x14ac:dyDescent="0.2">
      <c r="A12" s="48"/>
      <c r="B12" s="49"/>
      <c r="C12" s="91"/>
      <c r="D12" s="77"/>
      <c r="E12" s="49"/>
      <c r="F12" s="50"/>
      <c r="G12" s="51"/>
      <c r="H12" s="51"/>
      <c r="I12" s="51"/>
      <c r="J12" s="138"/>
      <c r="R12" s="114"/>
    </row>
    <row r="13" spans="1:18" ht="12.75" customHeight="1" x14ac:dyDescent="0.2">
      <c r="A13" s="135" t="s">
        <v>7</v>
      </c>
      <c r="B13" s="47" t="s">
        <v>4</v>
      </c>
      <c r="C13" s="92">
        <v>44941</v>
      </c>
      <c r="D13" s="80">
        <v>100</v>
      </c>
      <c r="E13" s="56" t="s">
        <v>19</v>
      </c>
      <c r="F13" s="31"/>
      <c r="G13" s="22" t="s">
        <v>25</v>
      </c>
      <c r="H13" s="32"/>
      <c r="I13" s="26">
        <v>75</v>
      </c>
      <c r="J13" s="115"/>
      <c r="K13" s="113"/>
      <c r="R13" s="113">
        <v>75</v>
      </c>
    </row>
    <row r="14" spans="1:18" x14ac:dyDescent="0.2">
      <c r="A14" s="135"/>
      <c r="B14" s="1" t="s">
        <v>5</v>
      </c>
      <c r="C14" s="93">
        <f>C13+1</f>
        <v>44942</v>
      </c>
      <c r="D14" s="11">
        <f t="shared" ref="D14:D19" si="0">MIN(100,D13+15-(I13*0.4))</f>
        <v>85</v>
      </c>
      <c r="E14"/>
      <c r="F14" s="3" t="s">
        <v>37</v>
      </c>
      <c r="G14" s="3"/>
      <c r="H14" s="3"/>
      <c r="I14" s="5">
        <v>0</v>
      </c>
    </row>
    <row r="15" spans="1:18" ht="14.25" x14ac:dyDescent="0.2">
      <c r="A15" s="135"/>
      <c r="B15" s="1" t="s">
        <v>0</v>
      </c>
      <c r="C15" s="93">
        <f t="shared" ref="C15:C34" si="1">C14+1</f>
        <v>44943</v>
      </c>
      <c r="D15" s="11">
        <f t="shared" si="0"/>
        <v>100</v>
      </c>
      <c r="E15" s="30" t="s">
        <v>13</v>
      </c>
      <c r="F15" t="str">
        <f>CONCATENATE(R15," min à ",$B$2*I15/100," km/h de moyenne")</f>
        <v>60 min à 9,8 km/h de moyenne</v>
      </c>
      <c r="G15" s="3" t="s">
        <v>32</v>
      </c>
      <c r="H15" s="73"/>
      <c r="I15" s="5">
        <v>70</v>
      </c>
      <c r="R15" s="111">
        <v>60</v>
      </c>
    </row>
    <row r="16" spans="1:18" x14ac:dyDescent="0.2">
      <c r="A16" s="135"/>
      <c r="B16" s="1" t="s">
        <v>1</v>
      </c>
      <c r="C16" s="93">
        <f t="shared" si="1"/>
        <v>44944</v>
      </c>
      <c r="D16" s="11">
        <f t="shared" si="0"/>
        <v>87</v>
      </c>
      <c r="E16"/>
      <c r="H16" s="5"/>
      <c r="K16" s="111">
        <v>100</v>
      </c>
      <c r="L16" s="111">
        <v>30</v>
      </c>
      <c r="M16" s="111">
        <v>0</v>
      </c>
      <c r="N16" s="111">
        <f>$B$2*K16/100</f>
        <v>14</v>
      </c>
      <c r="O16" s="111">
        <f>INT(60/N16)</f>
        <v>4</v>
      </c>
      <c r="P16" s="111">
        <f>((60/$N16)-O16)*60</f>
        <v>17.142857142857135</v>
      </c>
      <c r="Q16" s="111">
        <v>30</v>
      </c>
    </row>
    <row r="17" spans="1:19" ht="14.25" x14ac:dyDescent="0.2">
      <c r="A17" s="135"/>
      <c r="B17" s="1" t="s">
        <v>2</v>
      </c>
      <c r="C17" s="93">
        <f t="shared" si="1"/>
        <v>44945</v>
      </c>
      <c r="D17" s="11">
        <f t="shared" si="0"/>
        <v>100</v>
      </c>
      <c r="E17" s="28" t="s">
        <v>12</v>
      </c>
      <c r="F17" t="str">
        <f>CONCATENATE(R17,"2x10 [ 30 sec à ",$B$2*I17/100," km/h"," / 30 sec à ",$B$2*J17/100," km/h ], récup 90 sec entre les 2 séries")</f>
        <v>2x10 [ 30 sec à 14,7 km/h / 30 sec à 8,4 km/h ], récup 90 sec entre les 2 séries</v>
      </c>
      <c r="G17" s="3" t="s">
        <v>33</v>
      </c>
      <c r="H17" s="73"/>
      <c r="I17" s="5">
        <v>105</v>
      </c>
      <c r="J17" s="111">
        <v>60</v>
      </c>
      <c r="S17" s="111" t="s">
        <v>28</v>
      </c>
    </row>
    <row r="18" spans="1:19" x14ac:dyDescent="0.2">
      <c r="A18" s="135"/>
      <c r="B18" s="1" t="s">
        <v>6</v>
      </c>
      <c r="C18" s="93">
        <f t="shared" si="1"/>
        <v>44946</v>
      </c>
      <c r="D18" s="11">
        <f t="shared" si="0"/>
        <v>73</v>
      </c>
      <c r="E18"/>
      <c r="F18" s="3"/>
      <c r="G18" s="5"/>
      <c r="H18" s="5"/>
      <c r="K18" s="111">
        <v>100</v>
      </c>
      <c r="L18" s="111">
        <v>45</v>
      </c>
      <c r="M18" s="111">
        <v>0</v>
      </c>
      <c r="N18" s="111">
        <f>$B$2*K18/100</f>
        <v>14</v>
      </c>
      <c r="O18" s="111">
        <f>INT(60/N18)</f>
        <v>4</v>
      </c>
      <c r="P18" s="111">
        <f>((60/$N18)-O18)*60</f>
        <v>17.142857142857135</v>
      </c>
      <c r="Q18" s="111">
        <v>45</v>
      </c>
    </row>
    <row r="19" spans="1:19" x14ac:dyDescent="0.2">
      <c r="A19" s="135"/>
      <c r="B19" s="54" t="s">
        <v>3</v>
      </c>
      <c r="C19" s="94">
        <f t="shared" si="1"/>
        <v>44947</v>
      </c>
      <c r="D19" s="11">
        <f t="shared" si="0"/>
        <v>88</v>
      </c>
      <c r="E19"/>
      <c r="H19" s="5"/>
      <c r="J19" s="116"/>
    </row>
    <row r="20" spans="1:19" ht="14.25" customHeight="1" x14ac:dyDescent="0.2">
      <c r="A20" s="135"/>
      <c r="B20" s="134" t="s">
        <v>4</v>
      </c>
      <c r="C20" s="126">
        <f t="shared" si="1"/>
        <v>44948</v>
      </c>
      <c r="D20" s="11">
        <f>MIN(100,D17+15-(I17*0.4))</f>
        <v>73</v>
      </c>
      <c r="E20" s="56" t="s">
        <v>19</v>
      </c>
      <c r="F20" s="22" t="str">
        <f>CONCATENATE("Endurance ",R20," min à ",$B$2*I20/100," km/h de moyenne")</f>
        <v>Endurance 90 min à 9,8 km/h de moyenne</v>
      </c>
      <c r="G20" s="22" t="s">
        <v>66</v>
      </c>
      <c r="H20" s="74"/>
      <c r="I20" s="6">
        <v>70</v>
      </c>
      <c r="J20" s="115"/>
      <c r="K20" s="111">
        <v>100</v>
      </c>
      <c r="L20" s="111">
        <v>60</v>
      </c>
      <c r="M20" s="111">
        <v>0</v>
      </c>
      <c r="N20" s="111">
        <f>$B$2*K20/100</f>
        <v>14</v>
      </c>
      <c r="O20" s="111">
        <f>INT(60/N20)</f>
        <v>4</v>
      </c>
      <c r="P20" s="111">
        <f>((60/$N20)-O20)*60</f>
        <v>17.142857142857135</v>
      </c>
      <c r="Q20" s="111">
        <v>60</v>
      </c>
      <c r="R20" s="111">
        <v>90</v>
      </c>
      <c r="S20" s="111" t="s">
        <v>35</v>
      </c>
    </row>
    <row r="21" spans="1:19" x14ac:dyDescent="0.2">
      <c r="A21" s="135"/>
      <c r="B21" s="134"/>
      <c r="C21" s="126"/>
      <c r="D21" s="11">
        <f>MIN(100,D18+15-(I18*0.4))</f>
        <v>88</v>
      </c>
      <c r="E21" s="36" t="s">
        <v>10</v>
      </c>
      <c r="F21" s="31" t="s">
        <v>67</v>
      </c>
      <c r="G21" s="22"/>
      <c r="H21" s="74"/>
      <c r="I21" s="26"/>
      <c r="J21" s="117"/>
    </row>
    <row r="22" spans="1:19" ht="13.5" customHeight="1" x14ac:dyDescent="0.2">
      <c r="A22" s="125" t="s">
        <v>68</v>
      </c>
      <c r="B22" s="1" t="s">
        <v>5</v>
      </c>
      <c r="C22" s="93">
        <f>C20+1</f>
        <v>44949</v>
      </c>
      <c r="D22" s="11">
        <f>MIN(100,D19+15-(I19*0.4))</f>
        <v>100</v>
      </c>
      <c r="E22"/>
      <c r="F22" s="3" t="s">
        <v>37</v>
      </c>
      <c r="G22" s="3"/>
      <c r="H22" s="3"/>
      <c r="R22" s="111">
        <v>120</v>
      </c>
    </row>
    <row r="23" spans="1:19" ht="14.25" x14ac:dyDescent="0.2">
      <c r="A23" s="125"/>
      <c r="B23" s="1" t="s">
        <v>0</v>
      </c>
      <c r="C23" s="93">
        <f t="shared" si="1"/>
        <v>44950</v>
      </c>
      <c r="D23" s="11">
        <f>MIN(100,D22+15-(I22*0.4))</f>
        <v>100</v>
      </c>
      <c r="E23" s="28" t="s">
        <v>12</v>
      </c>
      <c r="F23" s="3" t="s">
        <v>61</v>
      </c>
      <c r="G23" s="3" t="s">
        <v>33</v>
      </c>
      <c r="H23" s="73"/>
      <c r="I23" s="5">
        <v>70</v>
      </c>
      <c r="K23" s="111">
        <v>135</v>
      </c>
      <c r="L23" s="111">
        <v>20</v>
      </c>
      <c r="M23" s="111">
        <v>0</v>
      </c>
      <c r="N23" s="111">
        <f>$B$2*K23/100</f>
        <v>18.899999999999999</v>
      </c>
      <c r="O23" s="111">
        <f>INT(60/N23)</f>
        <v>3</v>
      </c>
      <c r="P23" s="111">
        <f>((60/$N23)-O23)*60</f>
        <v>10.476190476190492</v>
      </c>
      <c r="Q23" s="111">
        <v>20</v>
      </c>
      <c r="R23" s="111">
        <v>75</v>
      </c>
    </row>
    <row r="24" spans="1:19" ht="17.25" customHeight="1" x14ac:dyDescent="0.2">
      <c r="A24" s="125"/>
      <c r="B24" s="1" t="s">
        <v>1</v>
      </c>
      <c r="C24" s="93">
        <f t="shared" si="1"/>
        <v>44951</v>
      </c>
      <c r="D24" s="11">
        <f>MIN(100,D23+15-(I23*0.4))</f>
        <v>87</v>
      </c>
      <c r="E24" s="30"/>
      <c r="F24" s="34"/>
      <c r="G24" s="3"/>
      <c r="H24" s="3"/>
      <c r="K24" s="111">
        <v>75</v>
      </c>
      <c r="L24" s="111">
        <v>60</v>
      </c>
      <c r="M24" s="111">
        <v>0</v>
      </c>
      <c r="N24" s="111">
        <f>$M$5</f>
        <v>35</v>
      </c>
      <c r="O24" s="111">
        <f>INT(60/N24)</f>
        <v>1</v>
      </c>
      <c r="P24" s="111">
        <f>((60/$N24)-O24)*60</f>
        <v>42.857142857142854</v>
      </c>
      <c r="Q24" s="111">
        <v>60</v>
      </c>
    </row>
    <row r="25" spans="1:19" ht="17.25" customHeight="1" x14ac:dyDescent="0.2">
      <c r="A25" s="125"/>
      <c r="B25" s="72" t="s">
        <v>2</v>
      </c>
      <c r="C25" s="95">
        <f>C24+1</f>
        <v>44952</v>
      </c>
      <c r="D25" s="11">
        <f>MIN(100,D23+15-(I23*0.4))</f>
        <v>87</v>
      </c>
      <c r="E25" s="28" t="s">
        <v>12</v>
      </c>
      <c r="F25" s="103" t="str">
        <f>CONCATENATE(Q27," min à ",$B$2*I25/100," km/h de moyenne circuit vieux village + 15' retour au calme")</f>
        <v>20 min à 12,6 km/h de moyenne circuit vieux village + 15' retour au calme</v>
      </c>
      <c r="G25" s="3" t="s">
        <v>60</v>
      </c>
      <c r="H25" s="73"/>
      <c r="I25" s="5">
        <v>90</v>
      </c>
      <c r="J25" s="111">
        <v>95</v>
      </c>
      <c r="R25" s="111">
        <v>60</v>
      </c>
    </row>
    <row r="26" spans="1:19" x14ac:dyDescent="0.2">
      <c r="A26" s="125"/>
      <c r="B26" s="1" t="s">
        <v>6</v>
      </c>
      <c r="C26" s="93">
        <f>C25+1</f>
        <v>44953</v>
      </c>
      <c r="D26" s="11">
        <f t="shared" ref="D26:D34" si="2">MIN(100,D25+15-(I25*0.4))</f>
        <v>66</v>
      </c>
      <c r="E26"/>
      <c r="F26" s="9"/>
      <c r="G26" s="9"/>
      <c r="H26" s="9"/>
    </row>
    <row r="27" spans="1:19" ht="14.25" x14ac:dyDescent="0.2">
      <c r="A27" s="125"/>
      <c r="B27" s="1" t="s">
        <v>3</v>
      </c>
      <c r="C27" s="102">
        <f t="shared" si="1"/>
        <v>44954</v>
      </c>
      <c r="D27" s="11">
        <f t="shared" si="2"/>
        <v>81</v>
      </c>
      <c r="E27" s="28"/>
      <c r="G27" s="53"/>
      <c r="H27" s="73"/>
      <c r="K27" s="111">
        <v>125</v>
      </c>
      <c r="L27" s="111">
        <v>20</v>
      </c>
      <c r="M27" s="111">
        <v>0</v>
      </c>
      <c r="N27" s="111">
        <f>$B$2*K27/100</f>
        <v>17.5</v>
      </c>
      <c r="O27" s="111">
        <f>INT(60/N27)</f>
        <v>3</v>
      </c>
      <c r="P27" s="111">
        <f>((60/$N27)-O27)*60</f>
        <v>25.714285714285701</v>
      </c>
      <c r="Q27" s="111">
        <v>20</v>
      </c>
    </row>
    <row r="28" spans="1:19" ht="14.25" x14ac:dyDescent="0.2">
      <c r="A28" s="125"/>
      <c r="B28" s="4" t="s">
        <v>4</v>
      </c>
      <c r="C28" s="96">
        <f t="shared" si="1"/>
        <v>44955</v>
      </c>
      <c r="D28" s="11">
        <f t="shared" si="2"/>
        <v>96</v>
      </c>
      <c r="E28" s="44"/>
      <c r="F28" s="31" t="s">
        <v>57</v>
      </c>
      <c r="G28" s="83" t="s">
        <v>49</v>
      </c>
      <c r="H28" s="74"/>
      <c r="I28" s="6">
        <v>80</v>
      </c>
      <c r="J28" s="115"/>
      <c r="K28" s="111">
        <v>100</v>
      </c>
      <c r="L28" s="111">
        <v>120</v>
      </c>
      <c r="M28" s="111">
        <v>0</v>
      </c>
      <c r="N28" s="111">
        <f>$B$2*K28/100</f>
        <v>14</v>
      </c>
      <c r="O28" s="111">
        <f>INT(60/N28)</f>
        <v>4</v>
      </c>
      <c r="P28" s="111">
        <f>((60/$N28)-O28)*60</f>
        <v>17.142857142857135</v>
      </c>
      <c r="Q28" s="111">
        <v>120</v>
      </c>
      <c r="R28" s="111">
        <v>75</v>
      </c>
    </row>
    <row r="29" spans="1:19" x14ac:dyDescent="0.2">
      <c r="A29" s="125"/>
      <c r="B29" s="1" t="s">
        <v>5</v>
      </c>
      <c r="C29" s="93">
        <f t="shared" si="1"/>
        <v>44956</v>
      </c>
      <c r="D29" s="11">
        <f t="shared" si="2"/>
        <v>79</v>
      </c>
      <c r="E29"/>
      <c r="F29" s="3" t="s">
        <v>37</v>
      </c>
    </row>
    <row r="30" spans="1:19" ht="25.5" customHeight="1" x14ac:dyDescent="0.2">
      <c r="A30" s="125"/>
      <c r="B30" s="1" t="s">
        <v>0</v>
      </c>
      <c r="C30" s="93">
        <f t="shared" si="1"/>
        <v>44957</v>
      </c>
      <c r="D30" s="11">
        <f t="shared" si="2"/>
        <v>94</v>
      </c>
      <c r="E30" s="109" t="s">
        <v>12</v>
      </c>
      <c r="F30" s="108" t="str">
        <f>CONCATENATE("Technique de course + PPG : ",Q30," min à ",$B$2*I30/100," km/h de moyenne, circuit bas des lacs + 15' retour au calme")</f>
        <v>Technique de course + PPG : 20 min à 12,6 km/h de moyenne, circuit bas des lacs + 15' retour au calme</v>
      </c>
      <c r="G30" s="105" t="s">
        <v>40</v>
      </c>
      <c r="H30" s="73"/>
      <c r="I30" s="7">
        <v>90</v>
      </c>
      <c r="K30" s="111">
        <v>125</v>
      </c>
      <c r="L30" s="111">
        <v>20</v>
      </c>
      <c r="M30" s="111">
        <v>0</v>
      </c>
      <c r="N30" s="111">
        <f>$B$2*K30/100</f>
        <v>17.5</v>
      </c>
      <c r="O30" s="111">
        <f t="shared" ref="O30:O34" si="3">INT(60/N30)</f>
        <v>3</v>
      </c>
      <c r="P30" s="111">
        <f t="shared" ref="P30:P34" si="4">((60/$N30)-O30)*60</f>
        <v>25.714285714285701</v>
      </c>
      <c r="Q30" s="111">
        <v>20</v>
      </c>
      <c r="R30" s="111">
        <v>75</v>
      </c>
    </row>
    <row r="31" spans="1:19" ht="15" customHeight="1" x14ac:dyDescent="0.2">
      <c r="A31" s="125"/>
      <c r="B31" s="1" t="s">
        <v>1</v>
      </c>
      <c r="C31" s="93">
        <f t="shared" si="1"/>
        <v>44958</v>
      </c>
      <c r="D31" s="11">
        <f t="shared" si="2"/>
        <v>73</v>
      </c>
      <c r="E31" s="30"/>
      <c r="F31" s="34"/>
      <c r="G31" s="33"/>
      <c r="H31" s="33"/>
      <c r="K31" s="111">
        <v>85</v>
      </c>
      <c r="L31" s="111">
        <v>60</v>
      </c>
      <c r="M31" s="111">
        <v>0</v>
      </c>
      <c r="N31" s="111">
        <f>$M$5</f>
        <v>35</v>
      </c>
      <c r="O31" s="111">
        <f t="shared" si="3"/>
        <v>1</v>
      </c>
      <c r="P31" s="111">
        <f t="shared" si="4"/>
        <v>42.857142857142854</v>
      </c>
      <c r="Q31" s="111">
        <v>60</v>
      </c>
    </row>
    <row r="32" spans="1:19" x14ac:dyDescent="0.2">
      <c r="A32" s="125"/>
      <c r="B32" s="1" t="s">
        <v>2</v>
      </c>
      <c r="C32" s="93">
        <f t="shared" si="1"/>
        <v>44959</v>
      </c>
      <c r="D32" s="11">
        <f t="shared" si="2"/>
        <v>88</v>
      </c>
      <c r="E32"/>
      <c r="F32" t="str">
        <f>CONCATENATE(R32,"2 x 5 [ 300 m à ",$B$2*I32/100," km/h, récup de 40 sec] Récup 90 sec à ",$B$2*J32/100,"km/h entre séries")</f>
        <v>2 x 5 [ 300 m à 14 km/h, récup de 40 sec] Récup 90 sec à 8,4km/h entre séries</v>
      </c>
      <c r="G32" s="53" t="s">
        <v>47</v>
      </c>
      <c r="H32" s="73"/>
      <c r="I32" s="5">
        <v>100</v>
      </c>
      <c r="J32" s="111">
        <v>60</v>
      </c>
      <c r="K32" s="111">
        <v>100</v>
      </c>
      <c r="L32" s="111">
        <v>75</v>
      </c>
      <c r="M32" s="111">
        <v>100</v>
      </c>
      <c r="N32" s="111">
        <f>$B$2*K32/100</f>
        <v>14</v>
      </c>
      <c r="O32" s="111">
        <f t="shared" si="3"/>
        <v>4</v>
      </c>
      <c r="P32" s="111">
        <f t="shared" si="4"/>
        <v>17.142857142857135</v>
      </c>
      <c r="Q32" s="111">
        <v>75</v>
      </c>
    </row>
    <row r="33" spans="1:18" ht="15.75" customHeight="1" x14ac:dyDescent="0.2">
      <c r="A33" s="125"/>
      <c r="B33" s="1" t="s">
        <v>6</v>
      </c>
      <c r="C33" s="93">
        <f t="shared" si="1"/>
        <v>44960</v>
      </c>
      <c r="D33" s="11">
        <f t="shared" si="2"/>
        <v>63</v>
      </c>
      <c r="E33" s="30"/>
      <c r="F33" s="34"/>
      <c r="G33" s="33"/>
      <c r="H33" s="33"/>
      <c r="K33" s="111">
        <v>80</v>
      </c>
      <c r="L33" s="111">
        <v>75</v>
      </c>
      <c r="M33" s="111">
        <v>0</v>
      </c>
      <c r="N33" s="111">
        <f>$M$5</f>
        <v>35</v>
      </c>
      <c r="O33" s="111">
        <f t="shared" si="3"/>
        <v>1</v>
      </c>
      <c r="P33" s="111">
        <f t="shared" si="4"/>
        <v>42.857142857142854</v>
      </c>
      <c r="Q33" s="111">
        <v>75</v>
      </c>
    </row>
    <row r="34" spans="1:18" ht="14.25" x14ac:dyDescent="0.2">
      <c r="A34" s="125"/>
      <c r="B34" s="1" t="s">
        <v>3</v>
      </c>
      <c r="C34" s="93">
        <f t="shared" si="1"/>
        <v>44961</v>
      </c>
      <c r="D34" s="11">
        <f t="shared" si="2"/>
        <v>78</v>
      </c>
      <c r="E34" s="28"/>
      <c r="G34" s="53"/>
      <c r="H34" s="73"/>
      <c r="K34" s="111">
        <v>108</v>
      </c>
      <c r="L34" s="111">
        <v>120</v>
      </c>
      <c r="M34" s="111">
        <v>0</v>
      </c>
      <c r="N34" s="111">
        <f>$B$2*K34/100</f>
        <v>15.12</v>
      </c>
      <c r="O34" s="111">
        <f t="shared" si="3"/>
        <v>3</v>
      </c>
      <c r="P34" s="111">
        <f t="shared" si="4"/>
        <v>58.095238095238102</v>
      </c>
      <c r="Q34" s="111">
        <v>120</v>
      </c>
    </row>
    <row r="35" spans="1:18" x14ac:dyDescent="0.2">
      <c r="A35" s="125"/>
      <c r="B35" s="85" t="s">
        <v>4</v>
      </c>
      <c r="C35" s="87">
        <f>C34+1</f>
        <v>44962</v>
      </c>
      <c r="D35" s="11">
        <f>MIN(100,D32+15-(I32*0.4))</f>
        <v>63</v>
      </c>
      <c r="E35" s="58" t="s">
        <v>41</v>
      </c>
      <c r="F35" s="23" t="str">
        <f>CONCATENATE($R49," min dont 2 x 10 min à ",$B$2*I35/100," km/h (vitesse 10 km) circuit sur chemin",)</f>
        <v>90 min dont 2 x 10 min à 12,6 km/h (vitesse 10 km) circuit sur chemin</v>
      </c>
      <c r="G35" s="57" t="s">
        <v>32</v>
      </c>
      <c r="H35" s="74"/>
      <c r="I35" s="26">
        <v>90</v>
      </c>
      <c r="J35" s="117"/>
    </row>
    <row r="36" spans="1:18" x14ac:dyDescent="0.2">
      <c r="A36" s="125"/>
      <c r="B36" s="1" t="s">
        <v>5</v>
      </c>
      <c r="C36" s="93">
        <f>C35+1</f>
        <v>44963</v>
      </c>
      <c r="D36" s="11">
        <f>MIN(100,D34+15-(I34*0.4))</f>
        <v>93</v>
      </c>
      <c r="E36"/>
      <c r="F36" s="3" t="s">
        <v>37</v>
      </c>
    </row>
    <row r="37" spans="1:18" ht="25.5" x14ac:dyDescent="0.2">
      <c r="A37" s="125"/>
      <c r="B37" s="1" t="s">
        <v>0</v>
      </c>
      <c r="C37" s="93">
        <f t="shared" ref="C37:C41" si="5">C36+1</f>
        <v>44964</v>
      </c>
      <c r="D37" s="11">
        <f t="shared" ref="D37:D43" si="6">MIN(100,D36+15-(I36*0.4))</f>
        <v>100</v>
      </c>
      <c r="E37" s="109" t="s">
        <v>12</v>
      </c>
      <c r="F37" s="108" t="str">
        <f>CONCATENATE("Technique de course + PPG : 2 fois ",Q37," min à ",$B$2*I30/100," km/h de moyenne, circuit bas des lacs + 15' retour au calme")</f>
        <v>Technique de course + PPG : 2 fois 15 min à 12,6 km/h de moyenne, circuit bas des lacs + 15' retour au calme</v>
      </c>
      <c r="G37" s="105" t="s">
        <v>40</v>
      </c>
      <c r="H37" s="73"/>
      <c r="I37" s="7">
        <v>90</v>
      </c>
      <c r="K37" s="111">
        <v>120</v>
      </c>
      <c r="L37" s="111">
        <v>20</v>
      </c>
      <c r="M37" s="111">
        <v>0</v>
      </c>
      <c r="N37" s="111">
        <f>$B$2*K37/100</f>
        <v>16.8</v>
      </c>
      <c r="O37" s="111">
        <f t="shared" ref="O37:O41" si="7">INT(60/N37)</f>
        <v>3</v>
      </c>
      <c r="P37" s="111">
        <f t="shared" ref="P37:P41" si="8">((60/$N37)-O37)*60</f>
        <v>34.28571428571427</v>
      </c>
      <c r="Q37" s="111">
        <v>15</v>
      </c>
    </row>
    <row r="38" spans="1:18" ht="14.25" x14ac:dyDescent="0.2">
      <c r="A38" s="125"/>
      <c r="B38" s="1" t="s">
        <v>1</v>
      </c>
      <c r="C38" s="93">
        <f t="shared" si="5"/>
        <v>44965</v>
      </c>
      <c r="D38" s="11">
        <f t="shared" si="6"/>
        <v>79</v>
      </c>
      <c r="E38" s="30"/>
      <c r="F38" s="34"/>
      <c r="G38" s="33"/>
      <c r="H38" s="33"/>
      <c r="I38" s="8"/>
      <c r="K38" s="111">
        <v>100</v>
      </c>
      <c r="L38" s="111">
        <v>60</v>
      </c>
      <c r="M38" s="111">
        <v>0</v>
      </c>
      <c r="N38" s="111">
        <f>$M$5</f>
        <v>35</v>
      </c>
      <c r="O38" s="111">
        <f t="shared" si="7"/>
        <v>1</v>
      </c>
      <c r="P38" s="111">
        <f t="shared" si="8"/>
        <v>42.857142857142854</v>
      </c>
      <c r="Q38" s="111">
        <v>60</v>
      </c>
    </row>
    <row r="39" spans="1:18" ht="14.25" x14ac:dyDescent="0.2">
      <c r="A39" s="125"/>
      <c r="B39" s="1" t="s">
        <v>2</v>
      </c>
      <c r="C39" s="93">
        <f t="shared" si="5"/>
        <v>44966</v>
      </c>
      <c r="D39" s="11">
        <f t="shared" si="6"/>
        <v>94</v>
      </c>
      <c r="E39" s="28" t="s">
        <v>12</v>
      </c>
      <c r="F39" t="str">
        <f>CONCATENATE(R39,"2x3 [ 600m à ",$B$2*I39/100," km/h"," récup 45 sec] Récup 120 sec entre les 2 séries")</f>
        <v>2x3 [ 600m à 13,3 km/h récup 45 sec] Récup 120 sec entre les 2 séries</v>
      </c>
      <c r="G39" s="53" t="s">
        <v>47</v>
      </c>
      <c r="H39" s="73"/>
      <c r="I39" s="7">
        <v>95</v>
      </c>
      <c r="K39" s="111">
        <v>100</v>
      </c>
      <c r="L39" s="111">
        <v>75</v>
      </c>
      <c r="M39" s="111">
        <v>100</v>
      </c>
      <c r="N39" s="111">
        <f>$B$2*K39/100</f>
        <v>14</v>
      </c>
      <c r="O39" s="111">
        <f t="shared" si="7"/>
        <v>4</v>
      </c>
      <c r="P39" s="111">
        <f t="shared" si="8"/>
        <v>17.142857142857135</v>
      </c>
      <c r="Q39" s="111">
        <v>75</v>
      </c>
    </row>
    <row r="40" spans="1:18" ht="14.25" x14ac:dyDescent="0.2">
      <c r="A40" s="125"/>
      <c r="B40" s="1" t="s">
        <v>6</v>
      </c>
      <c r="C40" s="93">
        <f t="shared" si="5"/>
        <v>44967</v>
      </c>
      <c r="D40" s="11">
        <f t="shared" si="6"/>
        <v>71</v>
      </c>
      <c r="E40" s="30"/>
      <c r="F40" s="34"/>
      <c r="G40" s="33"/>
      <c r="H40" s="33"/>
      <c r="I40" s="8"/>
      <c r="K40" s="111">
        <v>100</v>
      </c>
      <c r="L40" s="111">
        <v>75</v>
      </c>
      <c r="M40" s="111">
        <v>0</v>
      </c>
      <c r="N40" s="111">
        <f>$M$5</f>
        <v>35</v>
      </c>
      <c r="O40" s="111">
        <f t="shared" si="7"/>
        <v>1</v>
      </c>
      <c r="P40" s="111">
        <f t="shared" si="8"/>
        <v>42.857142857142854</v>
      </c>
      <c r="Q40" s="111">
        <v>75</v>
      </c>
    </row>
    <row r="41" spans="1:18" ht="14.25" x14ac:dyDescent="0.2">
      <c r="A41" s="125"/>
      <c r="B41" s="1" t="s">
        <v>3</v>
      </c>
      <c r="C41" s="93">
        <f t="shared" si="5"/>
        <v>44968</v>
      </c>
      <c r="D41" s="11">
        <f t="shared" si="6"/>
        <v>86</v>
      </c>
      <c r="E41" s="28"/>
      <c r="G41" s="53"/>
      <c r="H41" s="73"/>
      <c r="K41" s="111">
        <v>108</v>
      </c>
      <c r="L41" s="111">
        <v>0</v>
      </c>
      <c r="M41" s="111">
        <v>0</v>
      </c>
      <c r="N41" s="111">
        <f>$B$2*K41/100</f>
        <v>15.12</v>
      </c>
      <c r="O41" s="111">
        <f t="shared" si="7"/>
        <v>3</v>
      </c>
      <c r="P41" s="111">
        <f t="shared" si="8"/>
        <v>58.095238095238102</v>
      </c>
      <c r="Q41" s="111">
        <v>0</v>
      </c>
    </row>
    <row r="42" spans="1:18" x14ac:dyDescent="0.2">
      <c r="A42" s="125"/>
      <c r="B42" s="89" t="s">
        <v>4</v>
      </c>
      <c r="C42" s="88">
        <f>C41+1</f>
        <v>44969</v>
      </c>
      <c r="D42" s="11">
        <f t="shared" si="6"/>
        <v>100</v>
      </c>
      <c r="E42" s="58" t="s">
        <v>41</v>
      </c>
      <c r="F42" s="23" t="str">
        <f>CONCATENATE($R42," min dont 2 x 20 min à ",$B$2*I42/100," km/h (vitesse semi) Bois de Ferrière",)</f>
        <v>90 min dont 2 x 20 min à 11,9 km/h (vitesse semi) Bois de Ferrière</v>
      </c>
      <c r="G42" s="57" t="s">
        <v>32</v>
      </c>
      <c r="H42" s="74"/>
      <c r="I42" s="6">
        <v>85</v>
      </c>
      <c r="J42" s="118">
        <f>J48-1</f>
        <v>-1</v>
      </c>
      <c r="K42" s="111">
        <v>95</v>
      </c>
      <c r="L42" s="111">
        <v>180</v>
      </c>
      <c r="M42" s="111">
        <v>0</v>
      </c>
      <c r="N42" s="111">
        <f>$B$2*K42/100</f>
        <v>13.3</v>
      </c>
      <c r="O42" s="111">
        <f t="shared" ref="O42" si="9">INT(60/N42)</f>
        <v>4</v>
      </c>
      <c r="P42" s="111">
        <f t="shared" ref="P42" si="10">((60/$N42)-O42)*60</f>
        <v>30.67669172932332</v>
      </c>
      <c r="Q42" s="111">
        <v>180</v>
      </c>
      <c r="R42" s="111">
        <v>90</v>
      </c>
    </row>
    <row r="43" spans="1:18" ht="12.75" customHeight="1" x14ac:dyDescent="0.2">
      <c r="A43" s="125"/>
      <c r="B43" s="1" t="s">
        <v>5</v>
      </c>
      <c r="C43" s="93">
        <f>C42+1</f>
        <v>44970</v>
      </c>
      <c r="D43" s="11">
        <f t="shared" si="6"/>
        <v>81</v>
      </c>
      <c r="E43"/>
      <c r="F43" s="3" t="s">
        <v>37</v>
      </c>
      <c r="I43" s="7"/>
    </row>
    <row r="44" spans="1:18" ht="14.25" x14ac:dyDescent="0.2">
      <c r="A44" s="125"/>
      <c r="B44" s="1" t="s">
        <v>0</v>
      </c>
      <c r="C44" s="93">
        <f t="shared" ref="C44:C62" si="11">C43+1</f>
        <v>44971</v>
      </c>
      <c r="D44" s="11">
        <f>MIN(100,D43+15-(I43*0.4))</f>
        <v>96</v>
      </c>
      <c r="E44" s="28" t="s">
        <v>12</v>
      </c>
      <c r="F44" s="103" t="str">
        <f>CONCATENATE("2 fois ",Q44," min à ",$B$2*I25/100," km/h de moyenne circuit vieux village + 15' retour au calme")</f>
        <v>2 fois 15 min à 12,6 km/h de moyenne circuit vieux village + 15' retour au calme</v>
      </c>
      <c r="G44" s="53" t="s">
        <v>60</v>
      </c>
      <c r="H44" s="73"/>
      <c r="I44" s="7">
        <v>90</v>
      </c>
      <c r="K44" s="111">
        <v>100</v>
      </c>
      <c r="L44" s="111">
        <v>15</v>
      </c>
      <c r="M44" s="111">
        <v>0</v>
      </c>
      <c r="N44" s="111">
        <f>$B$2*K44/100</f>
        <v>14</v>
      </c>
      <c r="O44" s="111">
        <f>INT(60/N44)</f>
        <v>4</v>
      </c>
      <c r="P44" s="111">
        <f>((60/$N44)-O44)*60</f>
        <v>17.142857142857135</v>
      </c>
      <c r="Q44" s="111">
        <v>15</v>
      </c>
    </row>
    <row r="45" spans="1:18" x14ac:dyDescent="0.2">
      <c r="A45" s="125"/>
      <c r="B45" s="1" t="s">
        <v>1</v>
      </c>
      <c r="C45" s="93">
        <f t="shared" si="11"/>
        <v>44972</v>
      </c>
      <c r="D45" s="11">
        <f>MIN(100,D44+15-(I44*0.4))</f>
        <v>75</v>
      </c>
      <c r="E45"/>
      <c r="F45" s="3"/>
      <c r="G45" s="3"/>
      <c r="H45" s="3"/>
    </row>
    <row r="46" spans="1:18" ht="14.25" x14ac:dyDescent="0.2">
      <c r="A46" s="125"/>
      <c r="B46" s="1" t="s">
        <v>2</v>
      </c>
      <c r="C46" s="93">
        <f t="shared" si="11"/>
        <v>44973</v>
      </c>
      <c r="D46" s="11">
        <f>MIN(100,D45+20-(I45*0.4))</f>
        <v>95</v>
      </c>
      <c r="E46" s="28" t="s">
        <v>12</v>
      </c>
      <c r="F46" t="str">
        <f>CONCATENATE(R46,"2x[200,300,400,400,300,200m à ",$B$2*I46/100," km/h"," récup 40 sec] Récup 120sec entre séries")</f>
        <v>2x[200,300,400,400,300,200m à 13,3 km/h récup 40 sec] Récup 120sec entre séries</v>
      </c>
      <c r="G46" s="53" t="s">
        <v>33</v>
      </c>
      <c r="H46" s="73"/>
      <c r="I46" s="7">
        <v>95</v>
      </c>
      <c r="K46" s="111">
        <v>100</v>
      </c>
      <c r="L46" s="111">
        <v>60</v>
      </c>
      <c r="M46" s="111">
        <v>50</v>
      </c>
      <c r="N46" s="111">
        <f>$B$2*K46/100</f>
        <v>14</v>
      </c>
      <c r="O46" s="111">
        <f>INT(60/N46)</f>
        <v>4</v>
      </c>
      <c r="P46" s="111">
        <f>((60/$N46)-O46)*60</f>
        <v>17.142857142857135</v>
      </c>
      <c r="Q46" s="111">
        <v>60</v>
      </c>
    </row>
    <row r="47" spans="1:18" x14ac:dyDescent="0.2">
      <c r="A47" s="125"/>
      <c r="B47" s="1" t="s">
        <v>6</v>
      </c>
      <c r="C47" s="93">
        <f t="shared" si="11"/>
        <v>44974</v>
      </c>
      <c r="D47" s="11">
        <f t="shared" ref="D47:D71" si="12">MIN(100,D46+25-(I46*0.4))</f>
        <v>82</v>
      </c>
      <c r="E47"/>
      <c r="F47" s="3"/>
      <c r="G47" s="3"/>
      <c r="H47" s="3"/>
    </row>
    <row r="48" spans="1:18" ht="14.25" x14ac:dyDescent="0.2">
      <c r="A48" s="125"/>
      <c r="B48" s="1" t="s">
        <v>3</v>
      </c>
      <c r="C48" s="93">
        <f t="shared" si="11"/>
        <v>44975</v>
      </c>
      <c r="D48" s="11">
        <f t="shared" si="12"/>
        <v>100</v>
      </c>
      <c r="E48" s="28"/>
      <c r="G48" s="53"/>
      <c r="H48" s="73"/>
      <c r="K48" s="111">
        <v>80</v>
      </c>
      <c r="L48" s="111">
        <v>60</v>
      </c>
      <c r="M48" s="111">
        <v>0</v>
      </c>
      <c r="N48" s="111">
        <f>$M$5</f>
        <v>35</v>
      </c>
      <c r="O48" s="111">
        <f>INT(60/N48)</f>
        <v>1</v>
      </c>
      <c r="P48" s="111">
        <f>((60/$N48)-O48)*60</f>
        <v>42.857142857142854</v>
      </c>
      <c r="Q48" s="111">
        <v>60</v>
      </c>
    </row>
    <row r="49" spans="1:21" ht="14.25" x14ac:dyDescent="0.2">
      <c r="A49" s="125"/>
      <c r="B49" s="24" t="s">
        <v>4</v>
      </c>
      <c r="C49" s="97">
        <f t="shared" si="11"/>
        <v>44976</v>
      </c>
      <c r="D49" s="11">
        <f t="shared" si="12"/>
        <v>100</v>
      </c>
      <c r="E49" s="56" t="s">
        <v>19</v>
      </c>
      <c r="F49" s="22" t="str">
        <f>CONCATENATE("Endurance ",R49," min à ",$B$2*I49/100," km/h de moyenne")</f>
        <v>Endurance 90 min à 9,8 km/h de moyenne</v>
      </c>
      <c r="G49" s="57" t="s">
        <v>48</v>
      </c>
      <c r="H49" s="74"/>
      <c r="I49" s="26">
        <v>70</v>
      </c>
      <c r="J49" s="118">
        <f>J56-1</f>
        <v>-2</v>
      </c>
      <c r="K49" s="111">
        <v>100</v>
      </c>
      <c r="L49" s="111">
        <v>90</v>
      </c>
      <c r="M49" s="111">
        <v>0</v>
      </c>
      <c r="N49" s="111">
        <f>$B$2*K49/100</f>
        <v>14</v>
      </c>
      <c r="O49" s="111">
        <f>INT(60/N49)</f>
        <v>4</v>
      </c>
      <c r="P49" s="111">
        <f>((60/$N49)-O49)*60</f>
        <v>17.142857142857135</v>
      </c>
      <c r="Q49" s="111">
        <v>90</v>
      </c>
      <c r="R49" s="111">
        <v>90</v>
      </c>
    </row>
    <row r="50" spans="1:21" ht="12.75" customHeight="1" x14ac:dyDescent="0.2">
      <c r="A50" s="125"/>
      <c r="B50" s="1" t="s">
        <v>5</v>
      </c>
      <c r="C50" s="93">
        <f t="shared" si="11"/>
        <v>44977</v>
      </c>
      <c r="D50" s="11">
        <f t="shared" si="12"/>
        <v>97</v>
      </c>
      <c r="E50"/>
      <c r="F50" s="3" t="s">
        <v>37</v>
      </c>
      <c r="G50" s="3"/>
      <c r="H50" s="3"/>
    </row>
    <row r="51" spans="1:21" ht="25.5" x14ac:dyDescent="0.2">
      <c r="A51" s="125"/>
      <c r="B51" s="1" t="s">
        <v>0</v>
      </c>
      <c r="C51" s="93">
        <f t="shared" si="11"/>
        <v>44978</v>
      </c>
      <c r="D51" s="11">
        <f t="shared" si="12"/>
        <v>100</v>
      </c>
      <c r="E51" s="109" t="s">
        <v>12</v>
      </c>
      <c r="F51" s="108" t="str">
        <f>CONCATENATE("Technique de course + PPG : ",Q51," min à ",$B$2*I30/100," km/h de moyenne, circuit bas des lacs + 15' retour au calme")</f>
        <v>Technique de course + PPG : 30 min à 12,6 km/h de moyenne, circuit bas des lacs + 15' retour au calme</v>
      </c>
      <c r="G51" s="101" t="s">
        <v>40</v>
      </c>
      <c r="H51" s="73"/>
      <c r="I51" s="7">
        <v>90</v>
      </c>
      <c r="K51" s="111">
        <v>110</v>
      </c>
      <c r="L51" s="111">
        <v>30</v>
      </c>
      <c r="M51" s="111">
        <v>0</v>
      </c>
      <c r="N51" s="111">
        <f>$B$2*K51/100</f>
        <v>15.4</v>
      </c>
      <c r="O51" s="111">
        <f t="shared" ref="O51:O56" si="13">INT(60/N51)</f>
        <v>3</v>
      </c>
      <c r="P51" s="111">
        <f t="shared" ref="P51:P56" si="14">((60/$N51)-O51)*60</f>
        <v>53.766233766233768</v>
      </c>
      <c r="Q51" s="111">
        <v>30</v>
      </c>
    </row>
    <row r="52" spans="1:21" ht="14.25" x14ac:dyDescent="0.2">
      <c r="A52" s="125"/>
      <c r="B52" s="1" t="s">
        <v>1</v>
      </c>
      <c r="C52" s="93">
        <f t="shared" si="11"/>
        <v>44979</v>
      </c>
      <c r="D52" s="11">
        <f t="shared" si="12"/>
        <v>89</v>
      </c>
      <c r="E52" s="27"/>
      <c r="F52" s="3"/>
      <c r="G52" s="5"/>
      <c r="H52" s="5"/>
      <c r="K52" s="111">
        <v>100</v>
      </c>
      <c r="L52" s="111">
        <v>75</v>
      </c>
      <c r="M52" s="111">
        <v>100</v>
      </c>
      <c r="N52" s="111">
        <f>$B$2*K52/100</f>
        <v>14</v>
      </c>
      <c r="O52" s="111">
        <f t="shared" si="13"/>
        <v>4</v>
      </c>
      <c r="P52" s="111">
        <f t="shared" si="14"/>
        <v>17.142857142857135</v>
      </c>
      <c r="Q52" s="111">
        <v>75</v>
      </c>
    </row>
    <row r="53" spans="1:21" ht="14.25" x14ac:dyDescent="0.2">
      <c r="A53" s="125"/>
      <c r="B53" s="1" t="s">
        <v>2</v>
      </c>
      <c r="C53" s="93">
        <f t="shared" si="11"/>
        <v>44980</v>
      </c>
      <c r="D53" s="11">
        <f t="shared" si="12"/>
        <v>100</v>
      </c>
      <c r="E53" s="28" t="s">
        <v>12</v>
      </c>
      <c r="F53" t="str">
        <f>CONCATENATE(R53,"2x4 [500m à ",$B$2*I53/100," km/h"," récup 45 sec] Récup 120 sec entre les 2 séries")</f>
        <v>2x4 [500m à 13,3 km/h récup 45 sec] Récup 120 sec entre les 2 séries</v>
      </c>
      <c r="G53" s="53" t="s">
        <v>33</v>
      </c>
      <c r="H53" s="73"/>
      <c r="I53" s="5">
        <v>95</v>
      </c>
      <c r="K53" s="111">
        <v>120</v>
      </c>
      <c r="L53" s="111">
        <v>0</v>
      </c>
      <c r="M53" s="111">
        <v>0</v>
      </c>
      <c r="N53" s="111">
        <f>$B$2*K53/100</f>
        <v>16.8</v>
      </c>
      <c r="O53" s="111">
        <f t="shared" si="13"/>
        <v>3</v>
      </c>
      <c r="P53" s="111">
        <f t="shared" si="14"/>
        <v>34.28571428571427</v>
      </c>
      <c r="Q53" s="111">
        <v>0</v>
      </c>
    </row>
    <row r="54" spans="1:21" ht="11.25" customHeight="1" x14ac:dyDescent="0.2">
      <c r="A54" s="125"/>
      <c r="B54" s="1" t="s">
        <v>6</v>
      </c>
      <c r="C54" s="93">
        <f t="shared" si="11"/>
        <v>44981</v>
      </c>
      <c r="D54" s="11">
        <f t="shared" si="12"/>
        <v>87</v>
      </c>
      <c r="E54" s="30"/>
      <c r="F54" s="34"/>
      <c r="G54" s="5"/>
      <c r="H54" s="5"/>
      <c r="K54" s="111">
        <v>100</v>
      </c>
      <c r="L54" s="111">
        <v>75</v>
      </c>
      <c r="M54" s="111">
        <v>0</v>
      </c>
      <c r="N54" s="111">
        <f>$M$5</f>
        <v>35</v>
      </c>
      <c r="O54" s="111">
        <f t="shared" si="13"/>
        <v>1</v>
      </c>
      <c r="P54" s="111">
        <f t="shared" si="14"/>
        <v>42.857142857142854</v>
      </c>
      <c r="Q54" s="111">
        <v>75</v>
      </c>
    </row>
    <row r="55" spans="1:21" ht="14.25" x14ac:dyDescent="0.2">
      <c r="A55" s="125"/>
      <c r="B55" s="1" t="s">
        <v>3</v>
      </c>
      <c r="C55" s="93">
        <f t="shared" si="11"/>
        <v>44982</v>
      </c>
      <c r="D55" s="11">
        <f t="shared" si="12"/>
        <v>100</v>
      </c>
      <c r="E55" s="28"/>
      <c r="G55" s="53"/>
      <c r="H55" s="73"/>
      <c r="I55" s="5">
        <v>90</v>
      </c>
      <c r="K55" s="111">
        <v>90</v>
      </c>
      <c r="L55" s="111">
        <f>INT(Q55*($B$7/175))</f>
        <v>42</v>
      </c>
      <c r="M55" s="111">
        <v>0</v>
      </c>
      <c r="N55" s="111">
        <f>$B$2*K55/100</f>
        <v>12.6</v>
      </c>
      <c r="O55" s="111">
        <f t="shared" si="13"/>
        <v>4</v>
      </c>
      <c r="P55" s="111">
        <f t="shared" si="14"/>
        <v>45.714285714285708</v>
      </c>
      <c r="Q55" s="111">
        <v>150</v>
      </c>
    </row>
    <row r="56" spans="1:21" x14ac:dyDescent="0.2">
      <c r="A56" s="125"/>
      <c r="B56" s="24" t="s">
        <v>4</v>
      </c>
      <c r="C56" s="97">
        <f t="shared" si="11"/>
        <v>44983</v>
      </c>
      <c r="D56" s="11">
        <f t="shared" si="12"/>
        <v>89</v>
      </c>
      <c r="E56" s="58" t="s">
        <v>41</v>
      </c>
      <c r="F56" s="22" t="str">
        <f>CONCATENATE($R42," min dont 2 x 10 min à ",$B$2*I42/100," km/h (vitesse semi) ",)</f>
        <v xml:space="preserve">90 min dont 2 x 10 min à 11,9 km/h (vitesse semi) </v>
      </c>
      <c r="G56" s="57" t="s">
        <v>25</v>
      </c>
      <c r="H56" s="74"/>
      <c r="I56" s="26">
        <v>90</v>
      </c>
      <c r="J56" s="118">
        <f>J63-1</f>
        <v>-1</v>
      </c>
      <c r="K56" s="111">
        <v>85</v>
      </c>
      <c r="L56" s="111">
        <f>INT(Q56*($B$7/175))</f>
        <v>58</v>
      </c>
      <c r="M56" s="111">
        <v>0</v>
      </c>
      <c r="N56" s="111">
        <f>$B$2*K56/100</f>
        <v>11.9</v>
      </c>
      <c r="O56" s="111">
        <f t="shared" si="13"/>
        <v>5</v>
      </c>
      <c r="P56" s="111">
        <f t="shared" si="14"/>
        <v>2.5210084033613356</v>
      </c>
      <c r="Q56" s="111">
        <v>210</v>
      </c>
    </row>
    <row r="57" spans="1:21" ht="12.75" customHeight="1" x14ac:dyDescent="0.2">
      <c r="A57" s="125"/>
      <c r="B57" s="1" t="s">
        <v>5</v>
      </c>
      <c r="C57" s="93">
        <f t="shared" si="11"/>
        <v>44984</v>
      </c>
      <c r="D57" s="11">
        <f t="shared" si="12"/>
        <v>78</v>
      </c>
      <c r="E57"/>
      <c r="F57" s="3" t="s">
        <v>37</v>
      </c>
      <c r="G57" s="3"/>
      <c r="H57" s="3"/>
    </row>
    <row r="58" spans="1:21" ht="27.95" customHeight="1" x14ac:dyDescent="0.2">
      <c r="A58" s="125"/>
      <c r="B58" s="104" t="s">
        <v>0</v>
      </c>
      <c r="C58" s="95">
        <f t="shared" si="11"/>
        <v>44985</v>
      </c>
      <c r="D58" s="11">
        <f t="shared" si="12"/>
        <v>100</v>
      </c>
      <c r="E58" s="28" t="s">
        <v>12</v>
      </c>
      <c r="F58" s="107" t="str">
        <f>CONCATENATE(R60,"20minutes [ 300m à ",$B$2*I58/100," km/h"," / 45sec à ",$B$2*I60/100," km/h ].                                                                              Si competition le dimanche: ",R58," min à ",$B$2*I60/100," km/h de moyenne avec 10 lignes droites" )</f>
        <v>20minutes [ 300m à 14 km/h / 45sec à 9,8 km/h ].                                                                              Si competition le dimanche: 60 min à 9,8 km/h de moyenne avec 10 lignes droites</v>
      </c>
      <c r="G58" s="105" t="s">
        <v>33</v>
      </c>
      <c r="H58" s="106"/>
      <c r="I58" s="7">
        <v>100</v>
      </c>
      <c r="J58" s="119"/>
      <c r="K58" s="111">
        <v>90</v>
      </c>
      <c r="L58" s="111">
        <v>75</v>
      </c>
      <c r="M58" s="111">
        <v>75</v>
      </c>
      <c r="N58" s="111">
        <f>$B$2*K58/100</f>
        <v>12.6</v>
      </c>
      <c r="O58" s="111">
        <f t="shared" ref="O58:O63" si="15">INT(60/N58)</f>
        <v>4</v>
      </c>
      <c r="P58" s="111">
        <f t="shared" ref="P58:P63" si="16">((60/$N58)-O58)*60</f>
        <v>45.714285714285708</v>
      </c>
      <c r="Q58" s="111">
        <v>75</v>
      </c>
      <c r="R58" s="111">
        <v>60</v>
      </c>
    </row>
    <row r="59" spans="1:21" ht="12.75" customHeight="1" x14ac:dyDescent="0.2">
      <c r="A59" s="125"/>
      <c r="B59" s="1" t="s">
        <v>1</v>
      </c>
      <c r="C59" s="1">
        <f t="shared" si="11"/>
        <v>44986</v>
      </c>
      <c r="D59" s="11">
        <f t="shared" si="12"/>
        <v>85</v>
      </c>
      <c r="E59" s="30"/>
      <c r="G59" s="3"/>
      <c r="H59" s="5"/>
      <c r="K59" s="111">
        <v>100</v>
      </c>
      <c r="L59" s="111">
        <v>60</v>
      </c>
      <c r="M59" s="111">
        <v>0</v>
      </c>
      <c r="N59" s="111">
        <f>$M$5</f>
        <v>35</v>
      </c>
      <c r="O59" s="111">
        <f t="shared" si="15"/>
        <v>1</v>
      </c>
      <c r="P59" s="111">
        <f t="shared" si="16"/>
        <v>42.857142857142854</v>
      </c>
      <c r="Q59" s="111">
        <v>60</v>
      </c>
    </row>
    <row r="60" spans="1:21" ht="14.25" x14ac:dyDescent="0.2">
      <c r="A60" s="125"/>
      <c r="B60" s="1" t="s">
        <v>2</v>
      </c>
      <c r="C60" s="93">
        <f t="shared" si="11"/>
        <v>44987</v>
      </c>
      <c r="D60" s="11">
        <f t="shared" si="12"/>
        <v>100</v>
      </c>
      <c r="E60" s="28" t="s">
        <v>12</v>
      </c>
      <c r="F60" t="str">
        <f>CONCATENATE(R58," min à ",$B$2*I60/100," km/h de moyenne avec unre dizaine de ligne droite")</f>
        <v>60 min à 9,8 km/h de moyenne avec unre dizaine de ligne droite</v>
      </c>
      <c r="G60" s="53" t="s">
        <v>33</v>
      </c>
      <c r="H60" s="73"/>
      <c r="I60" s="7">
        <v>70</v>
      </c>
      <c r="J60" s="111">
        <v>60</v>
      </c>
      <c r="K60" s="111">
        <v>100</v>
      </c>
      <c r="L60" s="111">
        <v>30</v>
      </c>
      <c r="M60" s="111">
        <v>0</v>
      </c>
      <c r="N60" s="111">
        <f>$M$5</f>
        <v>35</v>
      </c>
      <c r="O60" s="111">
        <f t="shared" si="15"/>
        <v>1</v>
      </c>
      <c r="P60" s="111">
        <f t="shared" si="16"/>
        <v>42.857142857142854</v>
      </c>
      <c r="Q60" s="111">
        <v>30</v>
      </c>
    </row>
    <row r="61" spans="1:21" ht="12" customHeight="1" x14ac:dyDescent="0.2">
      <c r="A61" s="125"/>
      <c r="B61" s="1" t="s">
        <v>6</v>
      </c>
      <c r="C61" s="93">
        <f>C60+1</f>
        <v>44988</v>
      </c>
      <c r="D61" s="11">
        <f t="shared" si="12"/>
        <v>97</v>
      </c>
      <c r="E61" s="30"/>
      <c r="F61" s="34"/>
      <c r="I61" s="7"/>
      <c r="K61" s="111">
        <v>80</v>
      </c>
      <c r="L61" s="111">
        <v>60</v>
      </c>
      <c r="M61" s="111">
        <v>0</v>
      </c>
      <c r="N61" s="111">
        <f>$M$5</f>
        <v>35</v>
      </c>
      <c r="O61" s="111">
        <f t="shared" si="15"/>
        <v>1</v>
      </c>
      <c r="P61" s="111">
        <f t="shared" si="16"/>
        <v>42.857142857142854</v>
      </c>
      <c r="Q61" s="111">
        <v>60</v>
      </c>
    </row>
    <row r="62" spans="1:21" s="11" customFormat="1" ht="16.5" customHeight="1" x14ac:dyDescent="0.2">
      <c r="A62" s="125"/>
      <c r="B62" s="72" t="s">
        <v>3</v>
      </c>
      <c r="C62" s="95">
        <f t="shared" si="11"/>
        <v>44989</v>
      </c>
      <c r="D62" s="11">
        <f t="shared" si="12"/>
        <v>100</v>
      </c>
      <c r="E62" s="28"/>
      <c r="F62" s="86"/>
      <c r="G62" s="53"/>
      <c r="H62" s="73"/>
      <c r="I62" s="7"/>
      <c r="J62" s="120"/>
      <c r="K62" s="111">
        <v>85</v>
      </c>
      <c r="L62" s="111">
        <v>360</v>
      </c>
      <c r="M62" s="111">
        <v>75</v>
      </c>
      <c r="N62" s="111">
        <f>$B$2*K62/100</f>
        <v>11.9</v>
      </c>
      <c r="O62" s="111">
        <f t="shared" si="15"/>
        <v>5</v>
      </c>
      <c r="P62" s="111">
        <f t="shared" si="16"/>
        <v>2.5210084033613356</v>
      </c>
      <c r="Q62" s="111">
        <v>360</v>
      </c>
      <c r="R62" s="120"/>
      <c r="S62" s="120"/>
      <c r="T62" s="120"/>
      <c r="U62" s="120"/>
    </row>
    <row r="63" spans="1:21" x14ac:dyDescent="0.2">
      <c r="A63" s="125"/>
      <c r="B63" s="24" t="s">
        <v>4</v>
      </c>
      <c r="C63" s="97">
        <f t="shared" ref="C63:C77" si="17">C62+1</f>
        <v>44990</v>
      </c>
      <c r="D63" s="11">
        <f t="shared" si="12"/>
        <v>100</v>
      </c>
      <c r="E63" s="36" t="s">
        <v>10</v>
      </c>
      <c r="F63" s="31" t="s">
        <v>58</v>
      </c>
      <c r="G63" s="83" t="s">
        <v>59</v>
      </c>
      <c r="H63" s="35"/>
      <c r="I63" s="26"/>
      <c r="J63" s="118"/>
      <c r="K63" s="111">
        <v>80</v>
      </c>
      <c r="L63" s="111">
        <v>120</v>
      </c>
      <c r="M63" s="111">
        <v>75</v>
      </c>
      <c r="N63" s="111">
        <f>$M$5*K63/100</f>
        <v>28</v>
      </c>
      <c r="O63" s="111">
        <f t="shared" si="15"/>
        <v>2</v>
      </c>
      <c r="P63" s="111">
        <f t="shared" si="16"/>
        <v>8.5714285714285676</v>
      </c>
      <c r="Q63" s="111">
        <v>120</v>
      </c>
    </row>
    <row r="64" spans="1:21" ht="13.5" customHeight="1" x14ac:dyDescent="0.2">
      <c r="A64" s="125"/>
      <c r="B64" s="1" t="s">
        <v>5</v>
      </c>
      <c r="C64" s="93">
        <f t="shared" si="17"/>
        <v>44991</v>
      </c>
      <c r="D64" s="11">
        <f t="shared" si="12"/>
        <v>100</v>
      </c>
      <c r="E64"/>
      <c r="F64" s="3" t="s">
        <v>37</v>
      </c>
      <c r="G64" s="3"/>
      <c r="H64" s="3"/>
    </row>
    <row r="65" spans="1:18" x14ac:dyDescent="0.2">
      <c r="A65" s="125"/>
      <c r="B65" s="1" t="s">
        <v>0</v>
      </c>
      <c r="C65" s="93">
        <f t="shared" si="17"/>
        <v>44992</v>
      </c>
      <c r="D65" s="11">
        <f t="shared" si="12"/>
        <v>100</v>
      </c>
      <c r="F65" t="str">
        <f>CONCATENATE(R65," min à ",$B$2*I65/100," km/h de moyenne")</f>
        <v>60 min à 9,8 km/h de moyenne</v>
      </c>
      <c r="G65" s="3" t="s">
        <v>32</v>
      </c>
      <c r="H65" s="73"/>
      <c r="I65" s="5">
        <v>70</v>
      </c>
      <c r="K65" s="111">
        <v>100</v>
      </c>
      <c r="L65" s="111">
        <v>40</v>
      </c>
      <c r="M65" s="111">
        <v>0</v>
      </c>
      <c r="N65" s="111">
        <f>$B$2*K65/100</f>
        <v>14</v>
      </c>
      <c r="O65" s="111">
        <f>INT(60/N65)</f>
        <v>4</v>
      </c>
      <c r="P65" s="111">
        <f>((60/$N65)-O65)*60</f>
        <v>17.142857142857135</v>
      </c>
      <c r="Q65" s="111">
        <v>40</v>
      </c>
      <c r="R65" s="111">
        <v>60</v>
      </c>
    </row>
    <row r="66" spans="1:18" ht="14.25" x14ac:dyDescent="0.2">
      <c r="A66" s="125"/>
      <c r="B66" s="1" t="s">
        <v>1</v>
      </c>
      <c r="C66" s="93">
        <f t="shared" si="17"/>
        <v>44993</v>
      </c>
      <c r="D66" s="11">
        <f t="shared" si="12"/>
        <v>97</v>
      </c>
      <c r="E66" s="28"/>
      <c r="F66" s="3"/>
      <c r="G66" s="5"/>
      <c r="H66" s="5"/>
      <c r="K66" s="111">
        <v>90</v>
      </c>
      <c r="L66" s="111">
        <v>60</v>
      </c>
      <c r="M66" s="111">
        <v>0</v>
      </c>
      <c r="N66" s="111">
        <f>$B$2*K66/100</f>
        <v>12.6</v>
      </c>
      <c r="O66" s="111">
        <f>INT(60/N66)</f>
        <v>4</v>
      </c>
      <c r="P66" s="111">
        <f>((60/$N66)-O66)*60</f>
        <v>45.714285714285708</v>
      </c>
      <c r="Q66" s="111">
        <v>60</v>
      </c>
    </row>
    <row r="67" spans="1:18" ht="14.25" x14ac:dyDescent="0.2">
      <c r="A67" s="125"/>
      <c r="B67" s="1" t="s">
        <v>2</v>
      </c>
      <c r="C67" s="93">
        <f t="shared" si="17"/>
        <v>44994</v>
      </c>
      <c r="D67" s="11">
        <f t="shared" si="12"/>
        <v>100</v>
      </c>
      <c r="E67" s="28" t="s">
        <v>12</v>
      </c>
      <c r="F67" t="str">
        <f>CONCATENATE(R67,"2x6 [200m à ",$B$2*I67/100," km/h"," récup 40 sec] Récup 90 sec entre les 2 séries")</f>
        <v>2x6 [200m à 14 km/h récup 40 sec] Récup 90 sec entre les 2 séries</v>
      </c>
      <c r="G67" s="53" t="s">
        <v>47</v>
      </c>
      <c r="H67" s="73"/>
      <c r="I67" s="5">
        <v>100</v>
      </c>
      <c r="K67" s="111">
        <v>110</v>
      </c>
      <c r="L67" s="111">
        <v>60</v>
      </c>
      <c r="M67" s="111">
        <v>0</v>
      </c>
      <c r="N67" s="111">
        <f>$B$2*K67/100</f>
        <v>15.4</v>
      </c>
      <c r="O67" s="111">
        <f>INT(60/N67)</f>
        <v>3</v>
      </c>
      <c r="P67" s="111">
        <f>((60/$N67)-O67)*60</f>
        <v>53.766233766233768</v>
      </c>
      <c r="Q67" s="111">
        <v>60</v>
      </c>
    </row>
    <row r="68" spans="1:18" ht="12.75" customHeight="1" x14ac:dyDescent="0.2">
      <c r="A68" s="125"/>
      <c r="B68" s="1" t="s">
        <v>6</v>
      </c>
      <c r="C68" s="93">
        <f>C67+1</f>
        <v>44995</v>
      </c>
      <c r="D68" s="11">
        <f t="shared" si="12"/>
        <v>85</v>
      </c>
      <c r="E68" s="30"/>
      <c r="F68" s="37"/>
      <c r="G68" s="3"/>
      <c r="H68" s="3"/>
    </row>
    <row r="69" spans="1:18" ht="12.75" customHeight="1" x14ac:dyDescent="0.2">
      <c r="A69" s="125"/>
      <c r="B69" s="1" t="s">
        <v>3</v>
      </c>
      <c r="C69" s="93">
        <f t="shared" si="17"/>
        <v>44996</v>
      </c>
      <c r="D69" s="11">
        <f t="shared" si="12"/>
        <v>100</v>
      </c>
      <c r="E69"/>
      <c r="F69" s="8"/>
      <c r="G69" s="3"/>
      <c r="H69" s="3"/>
      <c r="K69" s="111">
        <v>85</v>
      </c>
      <c r="L69" s="111">
        <v>210</v>
      </c>
      <c r="M69" s="111">
        <v>0</v>
      </c>
      <c r="N69" s="111">
        <f>$B$2*K69/100</f>
        <v>11.9</v>
      </c>
      <c r="O69" s="111">
        <f>INT(60/N69)</f>
        <v>5</v>
      </c>
      <c r="P69" s="111">
        <f>((60/$N69)-O69)*60</f>
        <v>2.5210084033613356</v>
      </c>
      <c r="Q69" s="111">
        <v>210</v>
      </c>
    </row>
    <row r="70" spans="1:18" x14ac:dyDescent="0.2">
      <c r="A70" s="125"/>
      <c r="B70" s="89" t="s">
        <v>4</v>
      </c>
      <c r="C70" s="88">
        <f t="shared" si="17"/>
        <v>44997</v>
      </c>
      <c r="D70" s="11">
        <f t="shared" si="12"/>
        <v>100</v>
      </c>
      <c r="E70" s="58" t="s">
        <v>41</v>
      </c>
      <c r="F70" s="31" t="s">
        <v>63</v>
      </c>
      <c r="G70" s="59" t="s">
        <v>64</v>
      </c>
      <c r="H70" s="26"/>
      <c r="I70" s="26">
        <v>85</v>
      </c>
      <c r="J70" s="118"/>
      <c r="K70" s="111">
        <v>85</v>
      </c>
      <c r="L70" s="111">
        <v>300</v>
      </c>
      <c r="M70" s="111">
        <v>0</v>
      </c>
      <c r="N70" s="111">
        <f>$B$2*K70/100</f>
        <v>11.9</v>
      </c>
      <c r="O70" s="111">
        <f>INT(60/N70)</f>
        <v>5</v>
      </c>
      <c r="P70" s="111">
        <f>((60/$N70)-O70)*60</f>
        <v>2.5210084033613356</v>
      </c>
      <c r="Q70" s="111">
        <v>300</v>
      </c>
    </row>
    <row r="71" spans="1:18" ht="13.5" customHeight="1" x14ac:dyDescent="0.2">
      <c r="A71" s="125"/>
      <c r="B71" s="1" t="s">
        <v>5</v>
      </c>
      <c r="C71" s="98">
        <f>C70+1</f>
        <v>44998</v>
      </c>
      <c r="D71" s="11">
        <f t="shared" si="12"/>
        <v>91</v>
      </c>
      <c r="E71"/>
      <c r="F71" s="3" t="s">
        <v>37</v>
      </c>
      <c r="G71" s="3"/>
      <c r="H71" s="3"/>
    </row>
    <row r="72" spans="1:18" ht="13.5" customHeight="1" x14ac:dyDescent="0.2">
      <c r="A72" s="125"/>
      <c r="B72" s="1" t="s">
        <v>0</v>
      </c>
      <c r="C72" s="98">
        <f t="shared" si="17"/>
        <v>44999</v>
      </c>
      <c r="D72" s="11">
        <f t="shared" ref="D72:D77" si="18">MIN(100,D71+25-(I71*0.4))</f>
        <v>100</v>
      </c>
      <c r="F72" t="str">
        <f>CONCATENATE(R65," min à ",$B$2*I72/100," km/h de moyenne")</f>
        <v>60 min à 9,8 km/h de moyenne</v>
      </c>
      <c r="G72" s="3" t="s">
        <v>32</v>
      </c>
      <c r="H72" s="73"/>
      <c r="I72" s="5">
        <v>70</v>
      </c>
    </row>
    <row r="73" spans="1:18" ht="13.5" customHeight="1" x14ac:dyDescent="0.2">
      <c r="A73" s="125"/>
      <c r="B73" s="1" t="s">
        <v>1</v>
      </c>
      <c r="C73" s="98">
        <f t="shared" si="17"/>
        <v>45000</v>
      </c>
      <c r="D73" s="11">
        <f t="shared" si="18"/>
        <v>97</v>
      </c>
      <c r="E73" s="28"/>
      <c r="F73" s="3"/>
      <c r="G73" s="5"/>
      <c r="H73" s="5"/>
    </row>
    <row r="74" spans="1:18" ht="13.5" customHeight="1" x14ac:dyDescent="0.2">
      <c r="A74" s="125"/>
      <c r="B74" s="1" t="s">
        <v>2</v>
      </c>
      <c r="C74" s="98">
        <f t="shared" si="17"/>
        <v>45001</v>
      </c>
      <c r="D74" s="11">
        <f t="shared" si="18"/>
        <v>100</v>
      </c>
      <c r="E74" s="28" t="s">
        <v>12</v>
      </c>
      <c r="F74" t="str">
        <f>CONCATENATE(R74,"2x5 [400m à ",$B$2*I74/100," km/h"," récup 40 sec] Récup 90 sec entre les 2 séries")</f>
        <v>2x5 [400m à 13,3 km/h récup 40 sec] Récup 90 sec entre les 2 séries</v>
      </c>
      <c r="G74" s="53" t="s">
        <v>47</v>
      </c>
      <c r="H74" s="73"/>
      <c r="I74" s="5">
        <v>95</v>
      </c>
    </row>
    <row r="75" spans="1:18" ht="13.5" customHeight="1" x14ac:dyDescent="0.2">
      <c r="A75" s="125"/>
      <c r="B75" s="1" t="s">
        <v>6</v>
      </c>
      <c r="C75" s="98">
        <f>C74+1</f>
        <v>45002</v>
      </c>
      <c r="D75" s="11">
        <f t="shared" si="18"/>
        <v>87</v>
      </c>
      <c r="E75" s="30"/>
      <c r="F75" s="37"/>
      <c r="G75" s="3"/>
      <c r="H75" s="3"/>
    </row>
    <row r="76" spans="1:18" ht="13.5" customHeight="1" x14ac:dyDescent="0.2">
      <c r="A76" s="125"/>
      <c r="B76" s="24" t="s">
        <v>3</v>
      </c>
      <c r="C76" s="97">
        <f t="shared" si="17"/>
        <v>45003</v>
      </c>
      <c r="D76" s="11">
        <f t="shared" si="18"/>
        <v>100</v>
      </c>
      <c r="E76" s="121"/>
      <c r="F76" s="124" t="s">
        <v>56</v>
      </c>
      <c r="G76" s="122"/>
      <c r="H76" s="122"/>
      <c r="I76" s="123">
        <v>100</v>
      </c>
      <c r="J76" s="117"/>
    </row>
    <row r="77" spans="1:18" ht="13.5" customHeight="1" x14ac:dyDescent="0.2">
      <c r="A77" s="125"/>
      <c r="B77" s="144" t="s">
        <v>4</v>
      </c>
      <c r="C77" s="146">
        <f t="shared" si="17"/>
        <v>45004</v>
      </c>
      <c r="D77" s="148">
        <f t="shared" si="18"/>
        <v>85</v>
      </c>
      <c r="E77" s="58" t="s">
        <v>41</v>
      </c>
      <c r="F77" s="31"/>
      <c r="G77" s="59"/>
      <c r="H77" s="26"/>
      <c r="I77" s="26"/>
      <c r="J77" s="118"/>
    </row>
    <row r="78" spans="1:18" ht="13.5" customHeight="1" x14ac:dyDescent="0.2">
      <c r="A78" s="125"/>
      <c r="B78" s="145"/>
      <c r="C78" s="147"/>
      <c r="D78" s="148"/>
      <c r="E78" s="25"/>
      <c r="F78" s="31" t="str">
        <f>CONCATENATE(R65," min à ",$B$2*I78/100," km/h de moyenne")</f>
        <v>60 min à 10,5 km/h de moyenne</v>
      </c>
      <c r="G78" s="31" t="s">
        <v>32</v>
      </c>
      <c r="H78" s="22"/>
      <c r="I78" s="26">
        <v>75</v>
      </c>
      <c r="J78" s="117"/>
    </row>
    <row r="79" spans="1:18" ht="17.25" hidden="1" customHeight="1" x14ac:dyDescent="0.2">
      <c r="A79" s="100"/>
      <c r="B79" s="86"/>
      <c r="C79" s="99"/>
      <c r="D79" s="11"/>
      <c r="F79" s="21"/>
      <c r="G79" s="21"/>
      <c r="H79" s="3"/>
    </row>
    <row r="80" spans="1:18" hidden="1" x14ac:dyDescent="0.2">
      <c r="B80" s="150" t="s">
        <v>69</v>
      </c>
      <c r="C80" s="151"/>
      <c r="D80" s="151"/>
      <c r="E80" s="151"/>
      <c r="F80" s="151"/>
      <c r="G80" s="3"/>
      <c r="H80" s="3"/>
    </row>
    <row r="81" spans="2:9" hidden="1" x14ac:dyDescent="0.2">
      <c r="B81" s="151"/>
      <c r="C81" s="151"/>
      <c r="D81" s="151"/>
      <c r="E81" s="151"/>
      <c r="F81" s="151"/>
      <c r="G81" s="3"/>
      <c r="H81" s="3"/>
    </row>
    <row r="82" spans="2:9" hidden="1" x14ac:dyDescent="0.2">
      <c r="B82" s="151"/>
      <c r="C82" s="151"/>
      <c r="D82" s="151"/>
      <c r="E82" s="151"/>
      <c r="F82" s="151"/>
      <c r="G82" s="3"/>
      <c r="H82" s="3"/>
    </row>
    <row r="83" spans="2:9" hidden="1" x14ac:dyDescent="0.2">
      <c r="B83" s="151"/>
      <c r="C83" s="151"/>
      <c r="D83" s="151"/>
      <c r="E83" s="151"/>
      <c r="F83" s="151"/>
      <c r="G83" s="21"/>
      <c r="H83" s="21" t="s">
        <v>9</v>
      </c>
    </row>
    <row r="84" spans="2:9" hidden="1" x14ac:dyDescent="0.2">
      <c r="B84" s="151"/>
      <c r="C84" s="151"/>
      <c r="D84" s="151"/>
      <c r="E84" s="151"/>
      <c r="F84" s="151"/>
    </row>
    <row r="85" spans="2:9" hidden="1" x14ac:dyDescent="0.2">
      <c r="B85" s="151"/>
      <c r="C85" s="151"/>
      <c r="D85" s="151"/>
      <c r="E85" s="151"/>
      <c r="F85" s="151"/>
      <c r="G85">
        <v>1</v>
      </c>
      <c r="H85" s="12"/>
      <c r="I85" s="5" t="s">
        <v>22</v>
      </c>
    </row>
    <row r="86" spans="2:9" hidden="1" x14ac:dyDescent="0.2">
      <c r="B86" s="151"/>
      <c r="C86" s="151"/>
      <c r="D86" s="151"/>
      <c r="E86" s="151"/>
      <c r="F86" s="151"/>
      <c r="G86">
        <v>2</v>
      </c>
      <c r="H86" s="15"/>
    </row>
    <row r="87" spans="2:9" hidden="1" x14ac:dyDescent="0.2">
      <c r="B87" s="151"/>
      <c r="C87" s="151"/>
      <c r="D87" s="151"/>
      <c r="E87" s="151"/>
      <c r="F87" s="151"/>
      <c r="G87">
        <v>3</v>
      </c>
      <c r="H87" s="16"/>
    </row>
    <row r="88" spans="2:9" hidden="1" x14ac:dyDescent="0.2">
      <c r="B88" s="151"/>
      <c r="C88" s="151"/>
      <c r="D88" s="151"/>
      <c r="E88" s="151"/>
      <c r="F88" s="151"/>
      <c r="G88">
        <v>4</v>
      </c>
      <c r="H88" s="17"/>
    </row>
    <row r="89" spans="2:9" hidden="1" x14ac:dyDescent="0.2">
      <c r="B89" s="151"/>
      <c r="C89" s="151"/>
      <c r="D89" s="151"/>
      <c r="E89" s="151"/>
      <c r="F89" s="151"/>
      <c r="G89">
        <v>5</v>
      </c>
      <c r="H89" s="10"/>
    </row>
    <row r="90" spans="2:9" hidden="1" x14ac:dyDescent="0.2">
      <c r="F90" s="3"/>
      <c r="G90">
        <v>6</v>
      </c>
      <c r="H90" s="18"/>
    </row>
    <row r="91" spans="2:9" hidden="1" x14ac:dyDescent="0.2">
      <c r="F91" s="3"/>
      <c r="G91">
        <v>7</v>
      </c>
      <c r="H91" s="19"/>
    </row>
    <row r="92" spans="2:9" hidden="1" x14ac:dyDescent="0.2">
      <c r="F92" s="3"/>
      <c r="G92">
        <v>8</v>
      </c>
      <c r="H92" s="14"/>
    </row>
    <row r="93" spans="2:9" hidden="1" x14ac:dyDescent="0.2">
      <c r="F93" s="3"/>
      <c r="G93">
        <v>9</v>
      </c>
      <c r="H93" s="20"/>
    </row>
    <row r="94" spans="2:9" hidden="1" x14ac:dyDescent="0.2">
      <c r="F94" s="3"/>
      <c r="G94">
        <v>10</v>
      </c>
      <c r="H94" s="13"/>
      <c r="I94" s="5" t="s">
        <v>70</v>
      </c>
    </row>
    <row r="95" spans="2:9" x14ac:dyDescent="0.2">
      <c r="F95" s="3"/>
      <c r="G95" s="3"/>
      <c r="H95" s="3"/>
    </row>
    <row r="96" spans="2:9" x14ac:dyDescent="0.2">
      <c r="F96" s="3"/>
      <c r="G96" s="3"/>
      <c r="H96" s="3"/>
    </row>
    <row r="97" spans="6:8" x14ac:dyDescent="0.2">
      <c r="F97" s="3"/>
      <c r="G97" s="3"/>
      <c r="H97" s="3"/>
    </row>
    <row r="98" spans="6:8" x14ac:dyDescent="0.2">
      <c r="F98" s="3"/>
      <c r="G98" s="3"/>
      <c r="H98" s="3"/>
    </row>
    <row r="99" spans="6:8" x14ac:dyDescent="0.2">
      <c r="F99" s="3"/>
      <c r="G99" s="3"/>
      <c r="H99" s="3"/>
    </row>
    <row r="100" spans="6:8" x14ac:dyDescent="0.2">
      <c r="F100" s="3"/>
      <c r="G100" s="3"/>
      <c r="H100" s="3"/>
    </row>
    <row r="101" spans="6:8" x14ac:dyDescent="0.2">
      <c r="F101" s="3"/>
      <c r="G101" s="3"/>
      <c r="H101" s="3"/>
    </row>
    <row r="102" spans="6:8" x14ac:dyDescent="0.2">
      <c r="F102" s="3"/>
      <c r="G102" s="3"/>
      <c r="H102" s="3"/>
    </row>
    <row r="103" spans="6:8" x14ac:dyDescent="0.2">
      <c r="F103" s="3"/>
      <c r="G103" s="3"/>
      <c r="H103" s="3"/>
    </row>
    <row r="104" spans="6:8" x14ac:dyDescent="0.2">
      <c r="F104" s="3"/>
      <c r="G104" s="3"/>
      <c r="H104" s="3"/>
    </row>
    <row r="105" spans="6:8" x14ac:dyDescent="0.2">
      <c r="F105" s="3"/>
      <c r="G105" s="3"/>
      <c r="H105" s="3"/>
    </row>
    <row r="106" spans="6:8" x14ac:dyDescent="0.2">
      <c r="F106" s="3"/>
      <c r="G106" s="3"/>
      <c r="H106" s="3"/>
    </row>
    <row r="107" spans="6:8" x14ac:dyDescent="0.2">
      <c r="F107" s="3"/>
      <c r="G107" s="3"/>
      <c r="H107" s="3"/>
    </row>
    <row r="108" spans="6:8" x14ac:dyDescent="0.2">
      <c r="F108" s="3"/>
      <c r="G108" s="3"/>
      <c r="H108" s="3"/>
    </row>
    <row r="109" spans="6:8" x14ac:dyDescent="0.2">
      <c r="F109" s="3"/>
      <c r="G109" s="3"/>
      <c r="H109" s="3"/>
    </row>
    <row r="110" spans="6:8" x14ac:dyDescent="0.2">
      <c r="F110" s="3"/>
      <c r="G110" s="3"/>
      <c r="H110" s="3"/>
    </row>
    <row r="111" spans="6:8" x14ac:dyDescent="0.2">
      <c r="F111" s="3"/>
      <c r="G111" s="3"/>
      <c r="H111" s="3"/>
    </row>
  </sheetData>
  <customSheetViews>
    <customSheetView guid="{D8E4A9E8-7CE6-433B-B78A-B45FA417B60A}" showPageBreaks="1" fitToPage="1" showRuler="0">
      <selection activeCell="A4" sqref="A4"/>
      <pageMargins left="0.7" right="0.7" top="0.75" bottom="0.75" header="0.3" footer="0.3"/>
      <pageSetup paperSize="9" scale="76" orientation="portrait"/>
      <headerFooter>
        <oddHeader>&amp;CPlanning de préparation marathon de Reims : &amp;A_x000D_&amp;R&amp;D</oddHeader>
      </headerFooter>
    </customSheetView>
  </customSheetViews>
  <mergeCells count="27">
    <mergeCell ref="A1:F1"/>
    <mergeCell ref="B80:F89"/>
    <mergeCell ref="A3:F3"/>
    <mergeCell ref="D10:D11"/>
    <mergeCell ref="A10:A11"/>
    <mergeCell ref="A9:C9"/>
    <mergeCell ref="B5:C5"/>
    <mergeCell ref="F8:I8"/>
    <mergeCell ref="I10:I11"/>
    <mergeCell ref="F5:I5"/>
    <mergeCell ref="F4:I4"/>
    <mergeCell ref="F6:I6"/>
    <mergeCell ref="F7:I7"/>
    <mergeCell ref="F9:I9"/>
    <mergeCell ref="R10:R11"/>
    <mergeCell ref="G10:G11"/>
    <mergeCell ref="J11:J12"/>
    <mergeCell ref="E10:E11"/>
    <mergeCell ref="A22:A78"/>
    <mergeCell ref="C20:C21"/>
    <mergeCell ref="A6:D6"/>
    <mergeCell ref="B10:C11"/>
    <mergeCell ref="B20:B21"/>
    <mergeCell ref="A13:A21"/>
    <mergeCell ref="B77:B78"/>
    <mergeCell ref="C77:C78"/>
    <mergeCell ref="D77:D78"/>
  </mergeCells>
  <phoneticPr fontId="0" type="noConversion"/>
  <conditionalFormatting sqref="C13 E16 E69 E36 E32 E43 E57 E64 E50 E29 C14:E14 E22 E18 C23:D24 C15:D19 E26 C26:D34 C25 C35 C42 E45 E47 C43:D58 C60:D70 D59 C20 C22 C36:D41 D71">
    <cfRule type="expression" dxfId="17" priority="123" stopIfTrue="1">
      <formula>$C13=TODAY()</formula>
    </cfRule>
  </conditionalFormatting>
  <conditionalFormatting sqref="D14:E14">
    <cfRule type="colorScale" priority="121">
      <colorScale>
        <cfvo type="min"/>
        <cfvo type="num" val="50"/>
        <cfvo type="max"/>
        <color rgb="FFF8696B"/>
        <color rgb="FFFFEB84"/>
        <color rgb="FF63BE7B"/>
      </colorScale>
    </cfRule>
    <cfRule type="colorScale" priority="122">
      <colorScale>
        <cfvo type="min"/>
        <cfvo type="percentile" val="50"/>
        <cfvo type="max"/>
        <color rgb="FFF8696B"/>
        <color rgb="FFFFEB84"/>
        <color rgb="FF63BE7B"/>
      </colorScale>
    </cfRule>
  </conditionalFormatting>
  <conditionalFormatting sqref="E8">
    <cfRule type="expression" dxfId="16" priority="73" stopIfTrue="1">
      <formula>$C8=TODAY()</formula>
    </cfRule>
  </conditionalFormatting>
  <conditionalFormatting sqref="E8">
    <cfRule type="colorScale" priority="71">
      <colorScale>
        <cfvo type="min"/>
        <cfvo type="num" val="50"/>
        <cfvo type="max"/>
        <color rgb="FFF8696B"/>
        <color rgb="FFFFEB84"/>
        <color rgb="FF63BE7B"/>
      </colorScale>
    </cfRule>
    <cfRule type="colorScale" priority="72">
      <colorScale>
        <cfvo type="min"/>
        <cfvo type="percentile" val="50"/>
        <cfvo type="max"/>
        <color rgb="FFF8696B"/>
        <color rgb="FFFFEB84"/>
        <color rgb="FF63BE7B"/>
      </colorScale>
    </cfRule>
  </conditionalFormatting>
  <conditionalFormatting sqref="D13">
    <cfRule type="expression" dxfId="15" priority="70" stopIfTrue="1">
      <formula>$C13=TODAY()</formula>
    </cfRule>
  </conditionalFormatting>
  <conditionalFormatting sqref="D13">
    <cfRule type="colorScale" priority="68">
      <colorScale>
        <cfvo type="min"/>
        <cfvo type="num" val="50"/>
        <cfvo type="max"/>
        <color rgb="FFF8696B"/>
        <color rgb="FFFFEB84"/>
        <color rgb="FF63BE7B"/>
      </colorScale>
    </cfRule>
    <cfRule type="colorScale" priority="69">
      <colorScale>
        <cfvo type="min"/>
        <cfvo type="percentile" val="50"/>
        <cfvo type="max"/>
        <color rgb="FFF8696B"/>
        <color rgb="FFFFEB84"/>
        <color rgb="FF63BE7B"/>
      </colorScale>
    </cfRule>
  </conditionalFormatting>
  <conditionalFormatting sqref="D15">
    <cfRule type="colorScale" priority="66">
      <colorScale>
        <cfvo type="min"/>
        <cfvo type="num" val="50"/>
        <cfvo type="max"/>
        <color rgb="FFF8696B"/>
        <color rgb="FFFFEB84"/>
        <color rgb="FF63BE7B"/>
      </colorScale>
    </cfRule>
    <cfRule type="colorScale" priority="67">
      <colorScale>
        <cfvo type="min"/>
        <cfvo type="percentile" val="50"/>
        <cfvo type="max"/>
        <color rgb="FFF8696B"/>
        <color rgb="FFFFEB84"/>
        <color rgb="FF63BE7B"/>
      </colorScale>
    </cfRule>
  </conditionalFormatting>
  <conditionalFormatting sqref="D14">
    <cfRule type="colorScale" priority="59">
      <colorScale>
        <cfvo type="min"/>
        <cfvo type="num" val="50"/>
        <cfvo type="max"/>
        <color rgb="FFF8696B"/>
        <color rgb="FFFFEB84"/>
        <color rgb="FF63BE7B"/>
      </colorScale>
    </cfRule>
    <cfRule type="colorScale" priority="60">
      <colorScale>
        <cfvo type="min"/>
        <cfvo type="percentile" val="50"/>
        <cfvo type="max"/>
        <color rgb="FFF8696B"/>
        <color rgb="FFFFEB84"/>
        <color rgb="FF63BE7B"/>
      </colorScale>
    </cfRule>
  </conditionalFormatting>
  <conditionalFormatting sqref="D14">
    <cfRule type="colorScale" priority="57">
      <colorScale>
        <cfvo type="min"/>
        <cfvo type="num" val="50"/>
        <cfvo type="max"/>
        <color rgb="FFF8696B"/>
        <color rgb="FFFFEB84"/>
        <color rgb="FF63BE7B"/>
      </colorScale>
    </cfRule>
    <cfRule type="colorScale" priority="58">
      <colorScale>
        <cfvo type="min"/>
        <cfvo type="percentile" val="50"/>
        <cfvo type="max"/>
        <color rgb="FFF8696B"/>
        <color rgb="FFFFEB84"/>
        <color rgb="FF63BE7B"/>
      </colorScale>
    </cfRule>
  </conditionalFormatting>
  <conditionalFormatting sqref="D25 D35 D42:D43">
    <cfRule type="expression" dxfId="14" priority="125" stopIfTrue="1">
      <formula>#REF!=TODAY()</formula>
    </cfRule>
  </conditionalFormatting>
  <conditionalFormatting sqref="D25">
    <cfRule type="expression" dxfId="13" priority="48" stopIfTrue="1">
      <formula>$C25=TODAY()</formula>
    </cfRule>
  </conditionalFormatting>
  <conditionalFormatting sqref="D35">
    <cfRule type="expression" dxfId="12" priority="47" stopIfTrue="1">
      <formula>$C35=TODAY()</formula>
    </cfRule>
  </conditionalFormatting>
  <conditionalFormatting sqref="D36">
    <cfRule type="expression" dxfId="11" priority="39" stopIfTrue="1">
      <formula>#REF!=TODAY()</formula>
    </cfRule>
  </conditionalFormatting>
  <conditionalFormatting sqref="D36">
    <cfRule type="expression" dxfId="10" priority="38" stopIfTrue="1">
      <formula>$C36=TODAY()</formula>
    </cfRule>
  </conditionalFormatting>
  <conditionalFormatting sqref="D36">
    <cfRule type="expression" dxfId="9" priority="35" stopIfTrue="1">
      <formula>#REF!=TODAY()</formula>
    </cfRule>
  </conditionalFormatting>
  <conditionalFormatting sqref="D36">
    <cfRule type="expression" dxfId="8" priority="34" stopIfTrue="1">
      <formula>$C36=TODAY()</formula>
    </cfRule>
  </conditionalFormatting>
  <conditionalFormatting sqref="D42:D43">
    <cfRule type="expression" dxfId="7" priority="30" stopIfTrue="1">
      <formula>$C42=TODAY()</formula>
    </cfRule>
  </conditionalFormatting>
  <conditionalFormatting sqref="E50 E16 E29 E26 E64 E57 E43 E32 E36 E69 D15 E18 E22 E45 E47">
    <cfRule type="colorScale" priority="216">
      <colorScale>
        <cfvo type="min"/>
        <cfvo type="num" val="50"/>
        <cfvo type="max"/>
        <color rgb="FFF8696B"/>
        <color rgb="FFFFEB84"/>
        <color rgb="FF63BE7B"/>
      </colorScale>
    </cfRule>
    <cfRule type="colorScale" priority="217">
      <colorScale>
        <cfvo type="min"/>
        <cfvo type="percentile" val="50"/>
        <cfvo type="max"/>
        <color rgb="FFF8696B"/>
        <color rgb="FFFFEB84"/>
        <color rgb="FF63BE7B"/>
      </colorScale>
    </cfRule>
  </conditionalFormatting>
  <conditionalFormatting sqref="E19">
    <cfRule type="expression" dxfId="6" priority="24" stopIfTrue="1">
      <formula>$C19=TODAY()</formula>
    </cfRule>
  </conditionalFormatting>
  <conditionalFormatting sqref="E19">
    <cfRule type="colorScale" priority="25">
      <colorScale>
        <cfvo type="min"/>
        <cfvo type="num" val="50"/>
        <cfvo type="max"/>
        <color rgb="FFF8696B"/>
        <color rgb="FFFFEB84"/>
        <color rgb="FF63BE7B"/>
      </colorScale>
    </cfRule>
    <cfRule type="colorScale" priority="26">
      <colorScale>
        <cfvo type="min"/>
        <cfvo type="percentile" val="50"/>
        <cfvo type="max"/>
        <color rgb="FFF8696B"/>
        <color rgb="FFFFEB84"/>
        <color rgb="FF63BE7B"/>
      </colorScale>
    </cfRule>
  </conditionalFormatting>
  <conditionalFormatting sqref="D42:D43">
    <cfRule type="expression" dxfId="5" priority="23" stopIfTrue="1">
      <formula>$C42=TODAY()</formula>
    </cfRule>
  </conditionalFormatting>
  <conditionalFormatting sqref="E71 C72:D75 C71">
    <cfRule type="expression" dxfId="4" priority="15" stopIfTrue="1">
      <formula>$C71=TODAY()</formula>
    </cfRule>
  </conditionalFormatting>
  <conditionalFormatting sqref="E71">
    <cfRule type="colorScale" priority="16">
      <colorScale>
        <cfvo type="min"/>
        <cfvo type="num" val="50"/>
        <cfvo type="max"/>
        <color rgb="FFF8696B"/>
        <color rgb="FFFFEB84"/>
        <color rgb="FF63BE7B"/>
      </colorScale>
    </cfRule>
    <cfRule type="colorScale" priority="17">
      <colorScale>
        <cfvo type="min"/>
        <cfvo type="percentile" val="50"/>
        <cfvo type="max"/>
        <color rgb="FFF8696B"/>
        <color rgb="FFFFEB84"/>
        <color rgb="FF63BE7B"/>
      </colorScale>
    </cfRule>
  </conditionalFormatting>
  <conditionalFormatting sqref="D72:D75">
    <cfRule type="colorScale" priority="18">
      <colorScale>
        <cfvo type="min"/>
        <cfvo type="num" val="50"/>
        <cfvo type="max"/>
        <color rgb="FFF8696B"/>
        <color rgb="FFFFEB84"/>
        <color rgb="FF63BE7B"/>
      </colorScale>
    </cfRule>
    <cfRule type="colorScale" priority="19">
      <colorScale>
        <cfvo type="min"/>
        <cfvo type="percentile" val="50"/>
        <cfvo type="max"/>
        <color rgb="FFF8696B"/>
        <color rgb="FFFFEB84"/>
        <color rgb="FF63BE7B"/>
      </colorScale>
    </cfRule>
  </conditionalFormatting>
  <conditionalFormatting sqref="E76 C76:D77">
    <cfRule type="expression" dxfId="3" priority="10" stopIfTrue="1">
      <formula>$C76=TODAY()</formula>
    </cfRule>
  </conditionalFormatting>
  <conditionalFormatting sqref="E76">
    <cfRule type="colorScale" priority="11">
      <colorScale>
        <cfvo type="min"/>
        <cfvo type="num" val="50"/>
        <cfvo type="max"/>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D76:D77">
    <cfRule type="colorScale" priority="13">
      <colorScale>
        <cfvo type="min"/>
        <cfvo type="num" val="50"/>
        <cfvo type="max"/>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E63">
    <cfRule type="expression" dxfId="2" priority="9" stopIfTrue="1">
      <formula>$C63=TODAY()</formula>
    </cfRule>
  </conditionalFormatting>
  <conditionalFormatting sqref="E63">
    <cfRule type="colorScale" priority="7">
      <colorScale>
        <cfvo type="min"/>
        <cfvo type="num" val="50"/>
        <cfvo type="max"/>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D20:D22">
    <cfRule type="expression" dxfId="1" priority="4" stopIfTrue="1">
      <formula>$C18=TODAY()</formula>
    </cfRule>
  </conditionalFormatting>
  <conditionalFormatting sqref="D20:D22">
    <cfRule type="colorScale" priority="5">
      <colorScale>
        <cfvo type="min"/>
        <cfvo type="num" val="50"/>
        <cfvo type="max"/>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E21">
    <cfRule type="expression" dxfId="0" priority="3" stopIfTrue="1">
      <formula>#REF!=TODAY()</formula>
    </cfRule>
  </conditionalFormatting>
  <conditionalFormatting sqref="E21">
    <cfRule type="colorScale" priority="1">
      <colorScale>
        <cfvo type="min"/>
        <cfvo type="num" val="50"/>
        <cfvo type="max"/>
        <color rgb="FFF8696B"/>
        <color rgb="FFFFEB84"/>
        <color rgb="FF63BE7B"/>
      </colorScale>
    </cfRule>
    <cfRule type="colorScale" priority="2">
      <colorScale>
        <cfvo type="min"/>
        <cfvo type="percentile" val="50"/>
        <cfvo type="max"/>
        <color rgb="FFF8696B"/>
        <color rgb="FFFFEB84"/>
        <color rgb="FF63BE7B"/>
      </colorScale>
    </cfRule>
  </conditionalFormatting>
  <conditionalFormatting sqref="D16:D19 D23:D71">
    <cfRule type="colorScale" priority="367">
      <colorScale>
        <cfvo type="min"/>
        <cfvo type="num" val="50"/>
        <cfvo type="max"/>
        <color rgb="FFF8696B"/>
        <color rgb="FFFFEB84"/>
        <color rgb="FF63BE7B"/>
      </colorScale>
    </cfRule>
    <cfRule type="colorScale" priority="368">
      <colorScale>
        <cfvo type="min"/>
        <cfvo type="percentile" val="50"/>
        <cfvo type="max"/>
        <color rgb="FFF8696B"/>
        <color rgb="FFFFEB84"/>
        <color rgb="FF63BE7B"/>
      </colorScale>
    </cfRule>
  </conditionalFormatting>
  <pageMargins left="0.25" right="0.25" top="0.75" bottom="0.75" header="0.3" footer="0.3"/>
  <pageSetup paperSize="9" scale="68" fitToHeight="2" orientation="portrait" r:id="rId1"/>
  <rowBreaks count="1" manualBreakCount="1">
    <brk id="56" max="8" man="1"/>
  </rowBreaks>
  <colBreaks count="1" manualBreakCount="1">
    <brk id="10" min="9" max="10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CC"/>
  </sheetPr>
  <dimension ref="B3:D17"/>
  <sheetViews>
    <sheetView workbookViewId="0">
      <selection activeCell="F15" sqref="F15"/>
    </sheetView>
  </sheetViews>
  <sheetFormatPr baseColWidth="10" defaultColWidth="11.42578125" defaultRowHeight="25.5" x14ac:dyDescent="0.35"/>
  <cols>
    <col min="1" max="1" width="2.7109375" style="63" customWidth="1"/>
    <col min="2" max="2" width="18.42578125" style="63" customWidth="1"/>
    <col min="3" max="3" width="19" style="63" customWidth="1"/>
    <col min="4" max="4" width="26.28515625" style="63" customWidth="1"/>
    <col min="5" max="16384" width="11.42578125" style="63"/>
  </cols>
  <sheetData>
    <row r="3" spans="2:4" ht="26.25" x14ac:dyDescent="0.35">
      <c r="B3" s="60" t="s">
        <v>24</v>
      </c>
      <c r="C3" s="61">
        <f>'RENTREE 2022'!B2</f>
        <v>14</v>
      </c>
      <c r="D3" s="62" t="s">
        <v>14</v>
      </c>
    </row>
    <row r="4" spans="2:4" ht="26.25" x14ac:dyDescent="0.35">
      <c r="B4" s="60"/>
      <c r="C4" s="61"/>
      <c r="D4" s="62"/>
    </row>
    <row r="5" spans="2:4" ht="26.25" x14ac:dyDescent="0.35">
      <c r="B5" s="64" t="s">
        <v>50</v>
      </c>
      <c r="C5" s="64" t="s">
        <v>14</v>
      </c>
      <c r="D5" s="64" t="s">
        <v>51</v>
      </c>
    </row>
    <row r="6" spans="2:4" ht="26.25" x14ac:dyDescent="0.35">
      <c r="B6" s="65">
        <v>50</v>
      </c>
      <c r="C6" s="66">
        <f>(B6/100)*$C$3</f>
        <v>7</v>
      </c>
      <c r="D6" s="67">
        <f>(1/C6)*TIME(1,0,0)</f>
        <v>5.9523809523809521E-3</v>
      </c>
    </row>
    <row r="7" spans="2:4" ht="26.25" x14ac:dyDescent="0.35">
      <c r="B7" s="65">
        <v>60</v>
      </c>
      <c r="C7" s="66">
        <f t="shared" ref="C7:C17" si="0">(B7/100)*$C$3</f>
        <v>8.4</v>
      </c>
      <c r="D7" s="67">
        <f t="shared" ref="D7:D17" si="1">(1/C7)*TIME(1,0,0)</f>
        <v>4.96031746031746E-3</v>
      </c>
    </row>
    <row r="8" spans="2:4" ht="26.25" x14ac:dyDescent="0.35">
      <c r="B8" s="65">
        <v>70</v>
      </c>
      <c r="C8" s="66">
        <f t="shared" si="0"/>
        <v>9.7999999999999989</v>
      </c>
      <c r="D8" s="67">
        <f t="shared" si="1"/>
        <v>4.2517006802721092E-3</v>
      </c>
    </row>
    <row r="9" spans="2:4" ht="26.25" x14ac:dyDescent="0.35">
      <c r="B9" s="65">
        <f t="shared" ref="B9:B17" si="2">B8+5</f>
        <v>75</v>
      </c>
      <c r="C9" s="66">
        <f t="shared" si="0"/>
        <v>10.5</v>
      </c>
      <c r="D9" s="67">
        <f t="shared" si="1"/>
        <v>3.968253968253968E-3</v>
      </c>
    </row>
    <row r="10" spans="2:4" ht="26.25" x14ac:dyDescent="0.35">
      <c r="B10" s="65">
        <f t="shared" si="2"/>
        <v>80</v>
      </c>
      <c r="C10" s="66">
        <f t="shared" si="0"/>
        <v>11.200000000000001</v>
      </c>
      <c r="D10" s="67">
        <f t="shared" si="1"/>
        <v>3.7202380952380946E-3</v>
      </c>
    </row>
    <row r="11" spans="2:4" ht="26.25" x14ac:dyDescent="0.35">
      <c r="B11" s="65">
        <f t="shared" si="2"/>
        <v>85</v>
      </c>
      <c r="C11" s="66">
        <f t="shared" si="0"/>
        <v>11.9</v>
      </c>
      <c r="D11" s="67">
        <f t="shared" si="1"/>
        <v>3.5014005602240893E-3</v>
      </c>
    </row>
    <row r="12" spans="2:4" ht="26.25" x14ac:dyDescent="0.35">
      <c r="B12" s="65">
        <f t="shared" si="2"/>
        <v>90</v>
      </c>
      <c r="C12" s="66">
        <f t="shared" si="0"/>
        <v>12.6</v>
      </c>
      <c r="D12" s="67">
        <f t="shared" si="1"/>
        <v>3.3068783068783067E-3</v>
      </c>
    </row>
    <row r="13" spans="2:4" ht="26.25" x14ac:dyDescent="0.35">
      <c r="B13" s="65">
        <f t="shared" si="2"/>
        <v>95</v>
      </c>
      <c r="C13" s="66">
        <f t="shared" si="0"/>
        <v>13.299999999999999</v>
      </c>
      <c r="D13" s="67">
        <f t="shared" si="1"/>
        <v>3.1328320802005015E-3</v>
      </c>
    </row>
    <row r="14" spans="2:4" ht="26.25" x14ac:dyDescent="0.35">
      <c r="B14" s="68">
        <f t="shared" si="2"/>
        <v>100</v>
      </c>
      <c r="C14" s="66">
        <f t="shared" si="0"/>
        <v>14</v>
      </c>
      <c r="D14" s="67">
        <f t="shared" si="1"/>
        <v>2.976190476190476E-3</v>
      </c>
    </row>
    <row r="15" spans="2:4" ht="26.25" x14ac:dyDescent="0.35">
      <c r="B15" s="69">
        <f t="shared" si="2"/>
        <v>105</v>
      </c>
      <c r="C15" s="66">
        <f t="shared" si="0"/>
        <v>14.700000000000001</v>
      </c>
      <c r="D15" s="67">
        <f t="shared" si="1"/>
        <v>2.8344671201814054E-3</v>
      </c>
    </row>
    <row r="16" spans="2:4" ht="26.25" x14ac:dyDescent="0.35">
      <c r="B16" s="70">
        <f t="shared" si="2"/>
        <v>110</v>
      </c>
      <c r="C16" s="66">
        <f t="shared" si="0"/>
        <v>15.400000000000002</v>
      </c>
      <c r="D16" s="67">
        <f t="shared" si="1"/>
        <v>2.7056277056277051E-3</v>
      </c>
    </row>
    <row r="17" spans="2:4" ht="26.25" x14ac:dyDescent="0.35">
      <c r="B17" s="71">
        <f t="shared" si="2"/>
        <v>115</v>
      </c>
      <c r="C17" s="66">
        <f t="shared" si="0"/>
        <v>16.099999999999998</v>
      </c>
      <c r="D17" s="67">
        <f t="shared" si="1"/>
        <v>2.587991718426501E-3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RENTREE 2022</vt:lpstr>
      <vt:lpstr>MES ALLURES</vt:lpstr>
      <vt:lpstr>'RENTREE 2022'!Impression_des_titres</vt:lpstr>
      <vt:lpstr>'RENTREE 2022'!Zone_d_impression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Hervé POUTEAU</dc:creator>
  <cp:lastModifiedBy>Eric Crosnier</cp:lastModifiedBy>
  <cp:lastPrinted>2022-09-05T07:54:50Z</cp:lastPrinted>
  <dcterms:created xsi:type="dcterms:W3CDTF">2000-01-06T12:46:50Z</dcterms:created>
  <dcterms:modified xsi:type="dcterms:W3CDTF">2023-01-16T20:29:36Z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c87cd3fa-dae7-46c0-b61a-f048f69ed642</vt:lpwstr>
  </property>
</Properties>
</file>